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JF-12 (Cleyton)\02- QUARTEL DE BOMBEIROS SANTO AMARO\03-Orçamento\Final\"/>
    </mc:Choice>
  </mc:AlternateContent>
  <bookViews>
    <workbookView xWindow="-165" yWindow="-60" windowWidth="12030" windowHeight="10110" activeTab="1"/>
  </bookViews>
  <sheets>
    <sheet name="BDI" sheetId="5" r:id="rId1"/>
    <sheet name="PO" sheetId="2" r:id="rId2"/>
    <sheet name="CFF" sheetId="7" r:id="rId3"/>
    <sheet name="Gestão de Orçamentos " sheetId="8" r:id="rId4"/>
    <sheet name="Plan1" sheetId="9" r:id="rId5"/>
  </sheets>
  <externalReferences>
    <externalReference r:id="rId6"/>
    <externalReference r:id="rId7"/>
    <externalReference r:id="rId8"/>
    <externalReference r:id="rId9"/>
  </externalReferences>
  <definedNames>
    <definedName name="_xlnm.Print_Area" localSheetId="0">BDI!$A$1:$H$39</definedName>
    <definedName name="_xlnm.Print_Area" localSheetId="2">CFF!$A$1:$Q$141</definedName>
    <definedName name="_xlnm.Print_Area" localSheetId="1">PO!$A$1:$K$149</definedName>
  </definedNames>
  <calcPr calcId="152511"/>
</workbook>
</file>

<file path=xl/calcChain.xml><?xml version="1.0" encoding="utf-8"?>
<calcChain xmlns="http://schemas.openxmlformats.org/spreadsheetml/2006/main">
  <c r="G135" i="7" l="1"/>
  <c r="Q131" i="7" l="1"/>
  <c r="D15" i="7"/>
  <c r="D13" i="7"/>
  <c r="D10" i="7"/>
  <c r="D127" i="7"/>
  <c r="G16" i="7"/>
  <c r="I16" i="7" s="1"/>
  <c r="K16" i="7" s="1"/>
  <c r="M16" i="7" s="1"/>
  <c r="O16" i="7" s="1"/>
  <c r="Q16" i="7" s="1"/>
  <c r="G109" i="7"/>
  <c r="I109" i="7" s="1"/>
  <c r="K109" i="7" s="1"/>
  <c r="M109" i="7" s="1"/>
  <c r="O109" i="7" s="1"/>
  <c r="Q109" i="7" s="1"/>
  <c r="G110" i="7"/>
  <c r="I110" i="7" s="1"/>
  <c r="K110" i="7" s="1"/>
  <c r="M110" i="7" s="1"/>
  <c r="O110" i="7" s="1"/>
  <c r="Q110" i="7" s="1"/>
  <c r="I111" i="7"/>
  <c r="G111" i="7"/>
  <c r="G107" i="7"/>
  <c r="B101" i="7"/>
  <c r="C101" i="7"/>
  <c r="G101" i="7"/>
  <c r="I101" i="7" s="1"/>
  <c r="K101" i="7" s="1"/>
  <c r="M101" i="7" s="1"/>
  <c r="O101" i="7" s="1"/>
  <c r="Q101" i="7" s="1"/>
  <c r="B102" i="7"/>
  <c r="C102" i="7"/>
  <c r="G102" i="7"/>
  <c r="I102" i="7"/>
  <c r="K102" i="7" s="1"/>
  <c r="M102" i="7" s="1"/>
  <c r="O102" i="7" s="1"/>
  <c r="Q102" i="7" s="1"/>
  <c r="B69" i="7"/>
  <c r="B70" i="7"/>
  <c r="B71" i="7"/>
  <c r="B72" i="7"/>
  <c r="B73" i="7"/>
  <c r="B74" i="7"/>
  <c r="B75" i="7"/>
  <c r="B76" i="7"/>
  <c r="B77" i="7"/>
  <c r="B78" i="7"/>
  <c r="B79" i="7"/>
  <c r="B80" i="7"/>
  <c r="B81" i="7"/>
  <c r="B82" i="7"/>
  <c r="B83" i="7"/>
  <c r="B84" i="7"/>
  <c r="B85" i="7"/>
  <c r="B86" i="7"/>
  <c r="B87" i="7"/>
  <c r="B88" i="7"/>
  <c r="B89" i="7"/>
  <c r="B90" i="7"/>
  <c r="B91" i="7"/>
  <c r="B92" i="7"/>
  <c r="B93" i="7"/>
  <c r="B94" i="7"/>
  <c r="B95" i="7"/>
  <c r="B96" i="7"/>
  <c r="B97" i="7"/>
  <c r="B98" i="7"/>
  <c r="B99" i="7"/>
  <c r="J33" i="2" l="1"/>
  <c r="H107" i="2" l="1"/>
  <c r="I107" i="2" s="1"/>
  <c r="J107" i="2" s="1"/>
  <c r="D101" i="7" s="1"/>
  <c r="H108" i="2"/>
  <c r="I108" i="2" s="1"/>
  <c r="J108" i="2" s="1"/>
  <c r="D102" i="7" s="1"/>
  <c r="H109" i="2"/>
  <c r="I109" i="2" l="1"/>
  <c r="J109" i="2" s="1"/>
  <c r="J106" i="2" s="1"/>
  <c r="F20" i="2"/>
  <c r="H72" i="2"/>
  <c r="I72" i="2" s="1"/>
  <c r="J72" i="2" s="1"/>
  <c r="H71" i="2"/>
  <c r="I71" i="2" s="1"/>
  <c r="J71" i="2" s="1"/>
  <c r="H70" i="2"/>
  <c r="I70" i="2" s="1"/>
  <c r="F70" i="2"/>
  <c r="H69" i="2"/>
  <c r="I69" i="2" s="1"/>
  <c r="F69" i="2"/>
  <c r="H68" i="2"/>
  <c r="I68" i="2" s="1"/>
  <c r="H67" i="2"/>
  <c r="I67" i="2" s="1"/>
  <c r="F67" i="2"/>
  <c r="F68" i="2" s="1"/>
  <c r="H66" i="2"/>
  <c r="I66" i="2" s="1"/>
  <c r="J66" i="2" s="1"/>
  <c r="H65" i="2"/>
  <c r="I65" i="2" s="1"/>
  <c r="J65" i="2" s="1"/>
  <c r="H64" i="2"/>
  <c r="I64" i="2" s="1"/>
  <c r="J64" i="2" s="1"/>
  <c r="H63" i="2"/>
  <c r="I63" i="2" s="1"/>
  <c r="J63" i="2" s="1"/>
  <c r="H62" i="2"/>
  <c r="I62" i="2" s="1"/>
  <c r="J62" i="2" s="1"/>
  <c r="H61" i="2"/>
  <c r="I61" i="2" s="1"/>
  <c r="J61" i="2" s="1"/>
  <c r="H60" i="2"/>
  <c r="I60" i="2" s="1"/>
  <c r="J60" i="2" s="1"/>
  <c r="H59" i="2"/>
  <c r="I59" i="2" s="1"/>
  <c r="J59" i="2" s="1"/>
  <c r="H58" i="2"/>
  <c r="I58" i="2" s="1"/>
  <c r="J58" i="2" s="1"/>
  <c r="H57" i="2"/>
  <c r="I57" i="2" s="1"/>
  <c r="J57" i="2" s="1"/>
  <c r="H56" i="2"/>
  <c r="I56" i="2" s="1"/>
  <c r="J56" i="2" s="1"/>
  <c r="H55" i="2"/>
  <c r="I55" i="2" s="1"/>
  <c r="F55" i="2"/>
  <c r="H54" i="2"/>
  <c r="I54" i="2" s="1"/>
  <c r="F54" i="2"/>
  <c r="H53" i="2"/>
  <c r="I53" i="2" s="1"/>
  <c r="J53" i="2" s="1"/>
  <c r="H52" i="2"/>
  <c r="I52" i="2" s="1"/>
  <c r="J52" i="2" s="1"/>
  <c r="H51" i="2"/>
  <c r="I51" i="2" s="1"/>
  <c r="J51" i="2" s="1"/>
  <c r="H50" i="2"/>
  <c r="I50" i="2" s="1"/>
  <c r="J50" i="2" s="1"/>
  <c r="H49" i="2"/>
  <c r="I49" i="2" s="1"/>
  <c r="J49" i="2" s="1"/>
  <c r="H48" i="2"/>
  <c r="I48" i="2" s="1"/>
  <c r="J48" i="2" s="1"/>
  <c r="H47" i="2"/>
  <c r="I47" i="2" s="1"/>
  <c r="J47" i="2" s="1"/>
  <c r="H46" i="2"/>
  <c r="I46" i="2" s="1"/>
  <c r="J46" i="2" s="1"/>
  <c r="H45" i="2"/>
  <c r="I45" i="2" s="1"/>
  <c r="J45" i="2" s="1"/>
  <c r="H41" i="2"/>
  <c r="I41" i="2" s="1"/>
  <c r="J41" i="2" s="1"/>
  <c r="H40" i="2"/>
  <c r="I40" i="2" s="1"/>
  <c r="J40" i="2" s="1"/>
  <c r="H39" i="2"/>
  <c r="I39" i="2" s="1"/>
  <c r="J39" i="2" s="1"/>
  <c r="H38" i="2"/>
  <c r="I38" i="2" s="1"/>
  <c r="J38" i="2" s="1"/>
  <c r="H37" i="2"/>
  <c r="I37" i="2" s="1"/>
  <c r="J37" i="2" s="1"/>
  <c r="H36" i="2"/>
  <c r="I36" i="2" s="1"/>
  <c r="J36" i="2" s="1"/>
  <c r="H35" i="2"/>
  <c r="I35" i="2" s="1"/>
  <c r="J35" i="2" s="1"/>
  <c r="H34" i="2"/>
  <c r="I34" i="2" s="1"/>
  <c r="J34" i="2" s="1"/>
  <c r="J70" i="2" l="1"/>
  <c r="J55" i="2"/>
  <c r="J69" i="2"/>
  <c r="J54" i="2"/>
  <c r="J67" i="2"/>
  <c r="J68" i="2"/>
  <c r="B16" i="7"/>
  <c r="C16" i="7"/>
  <c r="B17" i="7"/>
  <c r="C17" i="7"/>
  <c r="B18" i="7"/>
  <c r="C18" i="7"/>
  <c r="B19" i="7"/>
  <c r="C19" i="7"/>
  <c r="B20" i="7"/>
  <c r="C20" i="7"/>
  <c r="B21" i="7"/>
  <c r="C21" i="7"/>
  <c r="B22" i="7"/>
  <c r="C22" i="7"/>
  <c r="B23" i="7"/>
  <c r="C23" i="7"/>
  <c r="B24" i="7"/>
  <c r="C24" i="7"/>
  <c r="B25" i="7"/>
  <c r="C25" i="7"/>
  <c r="B26" i="7"/>
  <c r="C26" i="7"/>
  <c r="C77" i="7"/>
  <c r="G77" i="7"/>
  <c r="I77" i="7" s="1"/>
  <c r="K77" i="7" s="1"/>
  <c r="M77" i="7" s="1"/>
  <c r="O77" i="7" s="1"/>
  <c r="Q77" i="7" s="1"/>
  <c r="C78" i="7"/>
  <c r="G78" i="7"/>
  <c r="I78" i="7" s="1"/>
  <c r="K78" i="7" s="1"/>
  <c r="M78" i="7" s="1"/>
  <c r="O78" i="7" s="1"/>
  <c r="Q78" i="7" s="1"/>
  <c r="C79" i="7"/>
  <c r="G79" i="7"/>
  <c r="I79" i="7" s="1"/>
  <c r="K79" i="7" s="1"/>
  <c r="M79" i="7" s="1"/>
  <c r="O79" i="7" s="1"/>
  <c r="Q79" i="7" s="1"/>
  <c r="C80" i="7"/>
  <c r="G80" i="7"/>
  <c r="I80" i="7" s="1"/>
  <c r="K80" i="7" s="1"/>
  <c r="M80" i="7" s="1"/>
  <c r="O80" i="7" s="1"/>
  <c r="Q80" i="7" s="1"/>
  <c r="C81" i="7"/>
  <c r="G81" i="7"/>
  <c r="I81" i="7" s="1"/>
  <c r="K81" i="7" s="1"/>
  <c r="M81" i="7" s="1"/>
  <c r="O81" i="7" s="1"/>
  <c r="Q81" i="7" s="1"/>
  <c r="C82" i="7"/>
  <c r="G82" i="7"/>
  <c r="I82" i="7" s="1"/>
  <c r="K82" i="7" s="1"/>
  <c r="M82" i="7" s="1"/>
  <c r="O82" i="7" s="1"/>
  <c r="Q82" i="7" s="1"/>
  <c r="C83" i="7"/>
  <c r="G83" i="7"/>
  <c r="I83" i="7" s="1"/>
  <c r="K83" i="7" s="1"/>
  <c r="M83" i="7" s="1"/>
  <c r="O83" i="7" s="1"/>
  <c r="Q83" i="7" s="1"/>
  <c r="C84" i="7"/>
  <c r="G84" i="7"/>
  <c r="I84" i="7" s="1"/>
  <c r="K84" i="7" s="1"/>
  <c r="M84" i="7" s="1"/>
  <c r="O84" i="7" s="1"/>
  <c r="Q84" i="7" s="1"/>
  <c r="C85" i="7"/>
  <c r="G85" i="7"/>
  <c r="I85" i="7" s="1"/>
  <c r="K85" i="7" s="1"/>
  <c r="M85" i="7" s="1"/>
  <c r="O85" i="7" s="1"/>
  <c r="Q85" i="7" s="1"/>
  <c r="C86" i="7"/>
  <c r="G86" i="7"/>
  <c r="I86" i="7" s="1"/>
  <c r="K86" i="7" s="1"/>
  <c r="M86" i="7" s="1"/>
  <c r="O86" i="7" s="1"/>
  <c r="Q86" i="7" s="1"/>
  <c r="C87" i="7"/>
  <c r="G87" i="7"/>
  <c r="I87" i="7" s="1"/>
  <c r="K87" i="7" s="1"/>
  <c r="M87" i="7" s="1"/>
  <c r="O87" i="7" s="1"/>
  <c r="Q87" i="7" s="1"/>
  <c r="C88" i="7"/>
  <c r="G88" i="7"/>
  <c r="I88" i="7" s="1"/>
  <c r="K88" i="7" s="1"/>
  <c r="M88" i="7" s="1"/>
  <c r="O88" i="7" s="1"/>
  <c r="Q88" i="7" s="1"/>
  <c r="C89" i="7"/>
  <c r="G89" i="7"/>
  <c r="I89" i="7" s="1"/>
  <c r="K89" i="7" s="1"/>
  <c r="M89" i="7" s="1"/>
  <c r="O89" i="7" s="1"/>
  <c r="Q89" i="7" s="1"/>
  <c r="C90" i="7"/>
  <c r="G90" i="7"/>
  <c r="I90" i="7" s="1"/>
  <c r="K90" i="7" s="1"/>
  <c r="M90" i="7" s="1"/>
  <c r="O90" i="7" s="1"/>
  <c r="Q90" i="7" s="1"/>
  <c r="C91" i="7"/>
  <c r="G91" i="7"/>
  <c r="I91" i="7" s="1"/>
  <c r="K91" i="7" s="1"/>
  <c r="M91" i="7" s="1"/>
  <c r="O91" i="7" s="1"/>
  <c r="Q91" i="7" s="1"/>
  <c r="C92" i="7"/>
  <c r="G92" i="7"/>
  <c r="I92" i="7" s="1"/>
  <c r="K92" i="7" s="1"/>
  <c r="M92" i="7" s="1"/>
  <c r="O92" i="7" s="1"/>
  <c r="Q92" i="7" s="1"/>
  <c r="C93" i="7"/>
  <c r="G93" i="7"/>
  <c r="I93" i="7" s="1"/>
  <c r="K93" i="7" s="1"/>
  <c r="M93" i="7" s="1"/>
  <c r="O93" i="7" s="1"/>
  <c r="Q93" i="7" s="1"/>
  <c r="C94" i="7"/>
  <c r="G94" i="7"/>
  <c r="I94" i="7" s="1"/>
  <c r="K94" i="7" s="1"/>
  <c r="M94" i="7" s="1"/>
  <c r="O94" i="7" s="1"/>
  <c r="Q94" i="7" s="1"/>
  <c r="C95" i="7"/>
  <c r="G95" i="7"/>
  <c r="I95" i="7" s="1"/>
  <c r="K95" i="7" s="1"/>
  <c r="M95" i="7" s="1"/>
  <c r="O95" i="7" s="1"/>
  <c r="Q95" i="7" s="1"/>
  <c r="C96" i="7"/>
  <c r="G96" i="7"/>
  <c r="I96" i="7" s="1"/>
  <c r="K96" i="7" s="1"/>
  <c r="M96" i="7" s="1"/>
  <c r="O96" i="7" s="1"/>
  <c r="Q96" i="7" s="1"/>
  <c r="C97" i="7"/>
  <c r="G97" i="7"/>
  <c r="I97" i="7" s="1"/>
  <c r="K97" i="7" s="1"/>
  <c r="M97" i="7" s="1"/>
  <c r="O97" i="7" s="1"/>
  <c r="Q97" i="7" s="1"/>
  <c r="C98" i="7"/>
  <c r="G98" i="7"/>
  <c r="I98" i="7" s="1"/>
  <c r="K98" i="7" s="1"/>
  <c r="M98" i="7" s="1"/>
  <c r="O98" i="7" s="1"/>
  <c r="Q98" i="7" s="1"/>
  <c r="C99" i="7"/>
  <c r="G99" i="7"/>
  <c r="I99" i="7" s="1"/>
  <c r="K99" i="7" s="1"/>
  <c r="M99" i="7" s="1"/>
  <c r="O99" i="7" s="1"/>
  <c r="Q99" i="7" s="1"/>
  <c r="G76" i="7"/>
  <c r="I76" i="7" s="1"/>
  <c r="K76" i="7" s="1"/>
  <c r="M76" i="7" s="1"/>
  <c r="O76" i="7" s="1"/>
  <c r="Q76" i="7" s="1"/>
  <c r="C76" i="7"/>
  <c r="G75" i="7"/>
  <c r="I75" i="7" s="1"/>
  <c r="K75" i="7" s="1"/>
  <c r="M75" i="7" s="1"/>
  <c r="O75" i="7" s="1"/>
  <c r="Q75" i="7" s="1"/>
  <c r="C75" i="7"/>
  <c r="G74" i="7"/>
  <c r="I74" i="7" s="1"/>
  <c r="K74" i="7" s="1"/>
  <c r="M74" i="7" s="1"/>
  <c r="O74" i="7" s="1"/>
  <c r="Q74" i="7" s="1"/>
  <c r="C74" i="7"/>
  <c r="G73" i="7"/>
  <c r="I73" i="7" s="1"/>
  <c r="K73" i="7" s="1"/>
  <c r="M73" i="7" s="1"/>
  <c r="O73" i="7" s="1"/>
  <c r="Q73" i="7" s="1"/>
  <c r="C73" i="7"/>
  <c r="G72" i="7"/>
  <c r="I72" i="7" s="1"/>
  <c r="K72" i="7" s="1"/>
  <c r="M72" i="7" s="1"/>
  <c r="O72" i="7" s="1"/>
  <c r="Q72" i="7" s="1"/>
  <c r="C72" i="7"/>
  <c r="G71" i="7"/>
  <c r="I71" i="7" s="1"/>
  <c r="K71" i="7" s="1"/>
  <c r="M71" i="7" s="1"/>
  <c r="O71" i="7" s="1"/>
  <c r="Q71" i="7" s="1"/>
  <c r="C71" i="7"/>
  <c r="G70" i="7"/>
  <c r="I70" i="7" s="1"/>
  <c r="K70" i="7" s="1"/>
  <c r="M70" i="7" s="1"/>
  <c r="O70" i="7" s="1"/>
  <c r="Q70" i="7" s="1"/>
  <c r="C70" i="7"/>
  <c r="G69" i="7"/>
  <c r="I69" i="7" s="1"/>
  <c r="K69" i="7" s="1"/>
  <c r="M69" i="7" s="1"/>
  <c r="O69" i="7" s="1"/>
  <c r="Q69" i="7" s="1"/>
  <c r="C69" i="7"/>
  <c r="G68" i="7"/>
  <c r="I68" i="7" s="1"/>
  <c r="K68" i="7" s="1"/>
  <c r="M68" i="7" s="1"/>
  <c r="O68" i="7" s="1"/>
  <c r="Q68" i="7" s="1"/>
  <c r="C68" i="7"/>
  <c r="B68" i="7"/>
  <c r="B37" i="7"/>
  <c r="C37" i="7"/>
  <c r="G37" i="7"/>
  <c r="I37" i="7" s="1"/>
  <c r="K37" i="7" s="1"/>
  <c r="M37" i="7" s="1"/>
  <c r="O37" i="7" s="1"/>
  <c r="Q37" i="7" s="1"/>
  <c r="B38" i="7"/>
  <c r="C38" i="7"/>
  <c r="G38" i="7"/>
  <c r="I38" i="7" s="1"/>
  <c r="K38" i="7" s="1"/>
  <c r="M38" i="7" s="1"/>
  <c r="O38" i="7" s="1"/>
  <c r="Q38" i="7" s="1"/>
  <c r="B39" i="7"/>
  <c r="C39" i="7"/>
  <c r="G39" i="7"/>
  <c r="I39" i="7" s="1"/>
  <c r="K39" i="7" s="1"/>
  <c r="M39" i="7" s="1"/>
  <c r="O39" i="7" s="1"/>
  <c r="Q39" i="7" s="1"/>
  <c r="B40" i="7"/>
  <c r="C40" i="7"/>
  <c r="G40" i="7"/>
  <c r="I40" i="7" s="1"/>
  <c r="K40" i="7" s="1"/>
  <c r="M40" i="7" s="1"/>
  <c r="O40" i="7" s="1"/>
  <c r="Q40" i="7" s="1"/>
  <c r="B41" i="7"/>
  <c r="C41" i="7"/>
  <c r="G41" i="7"/>
  <c r="I41" i="7" s="1"/>
  <c r="K41" i="7" s="1"/>
  <c r="M41" i="7" s="1"/>
  <c r="O41" i="7" s="1"/>
  <c r="Q41" i="7" s="1"/>
  <c r="B42" i="7"/>
  <c r="C42" i="7"/>
  <c r="G42" i="7"/>
  <c r="I42" i="7" s="1"/>
  <c r="K42" i="7" s="1"/>
  <c r="M42" i="7" s="1"/>
  <c r="O42" i="7" s="1"/>
  <c r="Q42" i="7" s="1"/>
  <c r="B43" i="7"/>
  <c r="C43" i="7"/>
  <c r="G43" i="7"/>
  <c r="I43" i="7" s="1"/>
  <c r="K43" i="7" s="1"/>
  <c r="M43" i="7" s="1"/>
  <c r="O43" i="7" s="1"/>
  <c r="Q43" i="7" s="1"/>
  <c r="B44" i="7"/>
  <c r="C44" i="7"/>
  <c r="G44" i="7"/>
  <c r="I44" i="7" s="1"/>
  <c r="K44" i="7" s="1"/>
  <c r="M44" i="7" s="1"/>
  <c r="O44" i="7" s="1"/>
  <c r="Q44" i="7" s="1"/>
  <c r="B45" i="7"/>
  <c r="C45" i="7"/>
  <c r="G45" i="7"/>
  <c r="I45" i="7" s="1"/>
  <c r="K45" i="7" s="1"/>
  <c r="M45" i="7" s="1"/>
  <c r="O45" i="7" s="1"/>
  <c r="Q45" i="7" s="1"/>
  <c r="B46" i="7"/>
  <c r="C46" i="7"/>
  <c r="G46" i="7"/>
  <c r="I46" i="7" s="1"/>
  <c r="K46" i="7" s="1"/>
  <c r="M46" i="7" s="1"/>
  <c r="O46" i="7" s="1"/>
  <c r="Q46" i="7" s="1"/>
  <c r="B47" i="7"/>
  <c r="C47" i="7"/>
  <c r="G47" i="7"/>
  <c r="I47" i="7" s="1"/>
  <c r="K47" i="7" s="1"/>
  <c r="M47" i="7" s="1"/>
  <c r="O47" i="7" s="1"/>
  <c r="Q47" i="7" s="1"/>
  <c r="B48" i="7"/>
  <c r="C48" i="7"/>
  <c r="G48" i="7"/>
  <c r="I48" i="7" s="1"/>
  <c r="K48" i="7" s="1"/>
  <c r="M48" i="7" s="1"/>
  <c r="O48" i="7" s="1"/>
  <c r="Q48" i="7" s="1"/>
  <c r="B49" i="7"/>
  <c r="C49" i="7"/>
  <c r="G49" i="7"/>
  <c r="I49" i="7" s="1"/>
  <c r="K49" i="7" s="1"/>
  <c r="M49" i="7" s="1"/>
  <c r="O49" i="7" s="1"/>
  <c r="Q49" i="7" s="1"/>
  <c r="B50" i="7"/>
  <c r="C50" i="7"/>
  <c r="G50" i="7"/>
  <c r="I50" i="7" s="1"/>
  <c r="K50" i="7" s="1"/>
  <c r="M50" i="7" s="1"/>
  <c r="O50" i="7" s="1"/>
  <c r="Q50" i="7" s="1"/>
  <c r="B51" i="7"/>
  <c r="C51" i="7"/>
  <c r="G51" i="7"/>
  <c r="I51" i="7" s="1"/>
  <c r="K51" i="7" s="1"/>
  <c r="M51" i="7" s="1"/>
  <c r="O51" i="7" s="1"/>
  <c r="Q51" i="7" s="1"/>
  <c r="B52" i="7"/>
  <c r="C52" i="7"/>
  <c r="G52" i="7"/>
  <c r="I52" i="7" s="1"/>
  <c r="K52" i="7" s="1"/>
  <c r="M52" i="7" s="1"/>
  <c r="O52" i="7" s="1"/>
  <c r="Q52" i="7" s="1"/>
  <c r="B53" i="7"/>
  <c r="C53" i="7"/>
  <c r="G53" i="7"/>
  <c r="I53" i="7" s="1"/>
  <c r="K53" i="7" s="1"/>
  <c r="M53" i="7" s="1"/>
  <c r="O53" i="7" s="1"/>
  <c r="Q53" i="7" s="1"/>
  <c r="B54" i="7"/>
  <c r="C54" i="7"/>
  <c r="G54" i="7"/>
  <c r="I54" i="7" s="1"/>
  <c r="K54" i="7" s="1"/>
  <c r="M54" i="7" s="1"/>
  <c r="O54" i="7" s="1"/>
  <c r="Q54" i="7" s="1"/>
  <c r="B55" i="7"/>
  <c r="C55" i="7"/>
  <c r="G55" i="7"/>
  <c r="I55" i="7" s="1"/>
  <c r="K55" i="7" s="1"/>
  <c r="M55" i="7" s="1"/>
  <c r="O55" i="7" s="1"/>
  <c r="Q55" i="7" s="1"/>
  <c r="B56" i="7"/>
  <c r="C56" i="7"/>
  <c r="G56" i="7"/>
  <c r="I56" i="7" s="1"/>
  <c r="K56" i="7" s="1"/>
  <c r="M56" i="7" s="1"/>
  <c r="O56" i="7" s="1"/>
  <c r="Q56" i="7" s="1"/>
  <c r="B57" i="7"/>
  <c r="C57" i="7"/>
  <c r="G57" i="7"/>
  <c r="I57" i="7" s="1"/>
  <c r="K57" i="7" s="1"/>
  <c r="M57" i="7" s="1"/>
  <c r="O57" i="7" s="1"/>
  <c r="Q57" i="7" s="1"/>
  <c r="B58" i="7"/>
  <c r="C58" i="7"/>
  <c r="G58" i="7"/>
  <c r="I58" i="7" s="1"/>
  <c r="K58" i="7" s="1"/>
  <c r="M58" i="7" s="1"/>
  <c r="O58" i="7" s="1"/>
  <c r="Q58" i="7" s="1"/>
  <c r="B59" i="7"/>
  <c r="C59" i="7"/>
  <c r="G59" i="7"/>
  <c r="I59" i="7" s="1"/>
  <c r="K59" i="7" s="1"/>
  <c r="M59" i="7" s="1"/>
  <c r="O59" i="7" s="1"/>
  <c r="Q59" i="7" s="1"/>
  <c r="B60" i="7"/>
  <c r="C60" i="7"/>
  <c r="G60" i="7"/>
  <c r="I60" i="7" s="1"/>
  <c r="K60" i="7" s="1"/>
  <c r="M60" i="7" s="1"/>
  <c r="O60" i="7" s="1"/>
  <c r="Q60" i="7" s="1"/>
  <c r="B61" i="7"/>
  <c r="C61" i="7"/>
  <c r="G61" i="7"/>
  <c r="I61" i="7" s="1"/>
  <c r="K61" i="7" s="1"/>
  <c r="M61" i="7" s="1"/>
  <c r="O61" i="7" s="1"/>
  <c r="Q61" i="7" s="1"/>
  <c r="B62" i="7"/>
  <c r="C62" i="7"/>
  <c r="G62" i="7"/>
  <c r="I62" i="7" s="1"/>
  <c r="K62" i="7" s="1"/>
  <c r="M62" i="7" s="1"/>
  <c r="O62" i="7" s="1"/>
  <c r="Q62" i="7" s="1"/>
  <c r="B63" i="7"/>
  <c r="C63" i="7"/>
  <c r="G63" i="7"/>
  <c r="I63" i="7" s="1"/>
  <c r="K63" i="7" s="1"/>
  <c r="M63" i="7" s="1"/>
  <c r="O63" i="7" s="1"/>
  <c r="Q63" i="7" s="1"/>
  <c r="B64" i="7"/>
  <c r="C64" i="7"/>
  <c r="G64" i="7"/>
  <c r="I64" i="7" s="1"/>
  <c r="K64" i="7" s="1"/>
  <c r="M64" i="7" s="1"/>
  <c r="O64" i="7" s="1"/>
  <c r="Q64" i="7" s="1"/>
  <c r="B65" i="7"/>
  <c r="C65" i="7"/>
  <c r="G65" i="7"/>
  <c r="I65" i="7" s="1"/>
  <c r="K65" i="7" s="1"/>
  <c r="M65" i="7" s="1"/>
  <c r="O65" i="7" s="1"/>
  <c r="Q65" i="7" s="1"/>
  <c r="B66" i="7"/>
  <c r="C66" i="7"/>
  <c r="G66" i="7"/>
  <c r="I66" i="7" s="1"/>
  <c r="K66" i="7" s="1"/>
  <c r="M66" i="7" s="1"/>
  <c r="O66" i="7" s="1"/>
  <c r="Q66" i="7" s="1"/>
  <c r="G36" i="7"/>
  <c r="I36" i="7" s="1"/>
  <c r="K36" i="7" s="1"/>
  <c r="M36" i="7" s="1"/>
  <c r="O36" i="7" s="1"/>
  <c r="Q36" i="7" s="1"/>
  <c r="C36" i="7"/>
  <c r="B36" i="7"/>
  <c r="G35" i="7"/>
  <c r="I35" i="7" s="1"/>
  <c r="K35" i="7" s="1"/>
  <c r="M35" i="7" s="1"/>
  <c r="O35" i="7" s="1"/>
  <c r="Q35" i="7" s="1"/>
  <c r="C35" i="7"/>
  <c r="B35" i="7"/>
  <c r="G34" i="7"/>
  <c r="I34" i="7" s="1"/>
  <c r="K34" i="7" s="1"/>
  <c r="M34" i="7" s="1"/>
  <c r="O34" i="7" s="1"/>
  <c r="Q34" i="7" s="1"/>
  <c r="C34" i="7"/>
  <c r="B34" i="7"/>
  <c r="H105" i="2" l="1"/>
  <c r="I105" i="2" s="1"/>
  <c r="J105" i="2" s="1"/>
  <c r="D99" i="7" s="1"/>
  <c r="G103" i="2"/>
  <c r="G102" i="2"/>
  <c r="H102" i="2"/>
  <c r="H103" i="2"/>
  <c r="G101" i="2"/>
  <c r="H101" i="2"/>
  <c r="I102" i="2" l="1"/>
  <c r="J102" i="2" s="1"/>
  <c r="D96" i="7" s="1"/>
  <c r="I101" i="2"/>
  <c r="J101" i="2" s="1"/>
  <c r="D95" i="7" s="1"/>
  <c r="I103" i="2"/>
  <c r="J103" i="2" s="1"/>
  <c r="D97" i="7" s="1"/>
  <c r="H80" i="2" l="1"/>
  <c r="I80" i="2" s="1"/>
  <c r="J80" i="2" s="1"/>
  <c r="D74" i="7" s="1"/>
  <c r="H78" i="2"/>
  <c r="I78" i="2" s="1"/>
  <c r="J78" i="2" s="1"/>
  <c r="D72" i="7" s="1"/>
  <c r="H74" i="2"/>
  <c r="H75" i="2"/>
  <c r="J75" i="2" s="1"/>
  <c r="D69" i="7" s="1"/>
  <c r="B12" i="9"/>
  <c r="C12" i="9" s="1"/>
  <c r="B6" i="9"/>
  <c r="C6" i="9" s="1"/>
  <c r="B5" i="9"/>
  <c r="B2" i="9"/>
  <c r="C2" i="9"/>
  <c r="C3" i="9"/>
  <c r="C5" i="9"/>
  <c r="C7" i="9"/>
  <c r="C8" i="9"/>
  <c r="C11" i="9"/>
  <c r="C14" i="9"/>
  <c r="B7" i="9"/>
  <c r="B8" i="9"/>
  <c r="B13" i="9"/>
  <c r="C13" i="9" s="1"/>
  <c r="B4" i="9"/>
  <c r="C4" i="9" s="1"/>
  <c r="B3" i="9"/>
  <c r="B14" i="9"/>
  <c r="B1" i="9"/>
  <c r="C1" i="9" s="1"/>
  <c r="C22" i="8" l="1"/>
  <c r="C20" i="8"/>
  <c r="B130" i="7"/>
  <c r="C130" i="7"/>
  <c r="G130" i="7"/>
  <c r="I130" i="7" s="1"/>
  <c r="K130" i="7" s="1"/>
  <c r="M130" i="7" s="1"/>
  <c r="O130" i="7" s="1"/>
  <c r="Q130" i="7" s="1"/>
  <c r="B131" i="7"/>
  <c r="C131" i="7"/>
  <c r="G131" i="7"/>
  <c r="I131" i="7" s="1"/>
  <c r="K131" i="7" s="1"/>
  <c r="M131" i="7" s="1"/>
  <c r="O131" i="7" s="1"/>
  <c r="B132" i="7"/>
  <c r="C132" i="7"/>
  <c r="G132" i="7"/>
  <c r="I132" i="7" s="1"/>
  <c r="K132" i="7" s="1"/>
  <c r="M132" i="7" s="1"/>
  <c r="O132" i="7" s="1"/>
  <c r="Q132" i="7" s="1"/>
  <c r="B133" i="7"/>
  <c r="C133" i="7"/>
  <c r="G133" i="7"/>
  <c r="I133" i="7" s="1"/>
  <c r="K133" i="7" s="1"/>
  <c r="M133" i="7" s="1"/>
  <c r="O133" i="7" s="1"/>
  <c r="Q133" i="7" s="1"/>
  <c r="G129" i="7"/>
  <c r="I129" i="7" s="1"/>
  <c r="K129" i="7" s="1"/>
  <c r="M129" i="7" s="1"/>
  <c r="O129" i="7" s="1"/>
  <c r="Q129" i="7" s="1"/>
  <c r="C129" i="7"/>
  <c r="B129" i="7"/>
  <c r="G128" i="7"/>
  <c r="I128" i="7" s="1"/>
  <c r="K128" i="7" s="1"/>
  <c r="M128" i="7" s="1"/>
  <c r="O128" i="7" s="1"/>
  <c r="Q128" i="7" s="1"/>
  <c r="C128" i="7"/>
  <c r="B128" i="7"/>
  <c r="C127" i="7"/>
  <c r="B127" i="7"/>
  <c r="C124" i="7"/>
  <c r="B124" i="7"/>
  <c r="B122" i="7"/>
  <c r="C122" i="7"/>
  <c r="G122" i="7"/>
  <c r="I122" i="7" s="1"/>
  <c r="K122" i="7" s="1"/>
  <c r="M122" i="7" s="1"/>
  <c r="O122" i="7" s="1"/>
  <c r="Q122" i="7" s="1"/>
  <c r="B123" i="7"/>
  <c r="C123" i="7"/>
  <c r="G123" i="7"/>
  <c r="I123" i="7" s="1"/>
  <c r="K123" i="7" s="1"/>
  <c r="M123" i="7" s="1"/>
  <c r="O123" i="7" s="1"/>
  <c r="Q123" i="7" s="1"/>
  <c r="B125" i="7"/>
  <c r="C125" i="7"/>
  <c r="G125" i="7"/>
  <c r="I125" i="7" s="1"/>
  <c r="K125" i="7" s="1"/>
  <c r="M125" i="7" s="1"/>
  <c r="O125" i="7" s="1"/>
  <c r="Q125" i="7" s="1"/>
  <c r="B126" i="7"/>
  <c r="C126" i="7"/>
  <c r="G126" i="7"/>
  <c r="I126" i="7" s="1"/>
  <c r="K126" i="7" s="1"/>
  <c r="M126" i="7" s="1"/>
  <c r="O126" i="7" s="1"/>
  <c r="Q126" i="7" s="1"/>
  <c r="B121" i="7"/>
  <c r="C121" i="7"/>
  <c r="B115" i="7"/>
  <c r="C115" i="7"/>
  <c r="G115" i="7"/>
  <c r="I115" i="7" s="1"/>
  <c r="K115" i="7" s="1"/>
  <c r="M115" i="7" s="1"/>
  <c r="O115" i="7" s="1"/>
  <c r="Q115" i="7" s="1"/>
  <c r="B116" i="7"/>
  <c r="C116" i="7"/>
  <c r="G116" i="7"/>
  <c r="I116" i="7" s="1"/>
  <c r="K116" i="7" s="1"/>
  <c r="M116" i="7" s="1"/>
  <c r="O116" i="7" s="1"/>
  <c r="Q116" i="7" s="1"/>
  <c r="B117" i="7"/>
  <c r="C117" i="7"/>
  <c r="G117" i="7"/>
  <c r="I117" i="7" s="1"/>
  <c r="K117" i="7" s="1"/>
  <c r="M117" i="7" s="1"/>
  <c r="O117" i="7" s="1"/>
  <c r="Q117" i="7" s="1"/>
  <c r="B118" i="7"/>
  <c r="C118" i="7"/>
  <c r="G118" i="7"/>
  <c r="I118" i="7" s="1"/>
  <c r="K118" i="7" s="1"/>
  <c r="M118" i="7" s="1"/>
  <c r="O118" i="7" s="1"/>
  <c r="Q118" i="7" s="1"/>
  <c r="B119" i="7"/>
  <c r="C119" i="7"/>
  <c r="G119" i="7"/>
  <c r="I119" i="7" s="1"/>
  <c r="K119" i="7" s="1"/>
  <c r="M119" i="7" s="1"/>
  <c r="O119" i="7" s="1"/>
  <c r="Q119" i="7" s="1"/>
  <c r="B103" i="7"/>
  <c r="C103" i="7"/>
  <c r="G103" i="7"/>
  <c r="I103" i="7" s="1"/>
  <c r="K103" i="7" s="1"/>
  <c r="M103" i="7" s="1"/>
  <c r="O103" i="7" s="1"/>
  <c r="Q103" i="7" s="1"/>
  <c r="C100" i="7"/>
  <c r="B100" i="7"/>
  <c r="C67" i="7"/>
  <c r="B67" i="7"/>
  <c r="C33" i="7"/>
  <c r="B33" i="7"/>
  <c r="B31" i="7"/>
  <c r="C31" i="7"/>
  <c r="B32" i="7"/>
  <c r="C32" i="7"/>
  <c r="C30" i="7"/>
  <c r="B30" i="7"/>
  <c r="C29" i="7"/>
  <c r="B29" i="7"/>
  <c r="B28" i="7"/>
  <c r="C28" i="7"/>
  <c r="C27" i="7"/>
  <c r="B27" i="7"/>
  <c r="G111" i="2" l="1"/>
  <c r="G28" i="2"/>
  <c r="C12" i="8" l="1"/>
  <c r="C10" i="8"/>
  <c r="H140" i="2" l="1"/>
  <c r="I140" i="2" s="1"/>
  <c r="J140" i="2" s="1"/>
  <c r="D132" i="7" s="1"/>
  <c r="H141" i="2"/>
  <c r="I141" i="2" s="1"/>
  <c r="J141" i="2" s="1"/>
  <c r="D133" i="7" s="1"/>
  <c r="H137" i="2" l="1"/>
  <c r="I137" i="2" s="1"/>
  <c r="J137" i="2" s="1"/>
  <c r="D129" i="7" s="1"/>
  <c r="H138" i="2"/>
  <c r="I138" i="2" s="1"/>
  <c r="J138" i="2" s="1"/>
  <c r="D130" i="7" s="1"/>
  <c r="D103" i="7" l="1"/>
  <c r="D100" i="7" l="1"/>
  <c r="H25" i="2"/>
  <c r="I25" i="2" s="1"/>
  <c r="J25" i="2" s="1"/>
  <c r="D25" i="7" s="1"/>
  <c r="H24" i="2"/>
  <c r="I24" i="2" s="1"/>
  <c r="J24" i="2" s="1"/>
  <c r="D24" i="7" s="1"/>
  <c r="H26" i="2" l="1"/>
  <c r="I26" i="2" s="1"/>
  <c r="J26" i="2" s="1"/>
  <c r="D26" i="7" s="1"/>
  <c r="H23" i="2"/>
  <c r="I23" i="2" s="1"/>
  <c r="J23" i="2" s="1"/>
  <c r="D23" i="7" s="1"/>
  <c r="H22" i="2"/>
  <c r="I22" i="2" s="1"/>
  <c r="J22" i="2" s="1"/>
  <c r="D22" i="7" l="1"/>
  <c r="J21" i="2"/>
  <c r="D21" i="7" l="1"/>
  <c r="H104" i="2"/>
  <c r="I104" i="2" s="1"/>
  <c r="J104" i="2" s="1"/>
  <c r="D98" i="7" s="1"/>
  <c r="H100" i="2"/>
  <c r="I100" i="2" s="1"/>
  <c r="J100" i="2" s="1"/>
  <c r="D94" i="7" s="1"/>
  <c r="H99" i="2"/>
  <c r="I99" i="2" s="1"/>
  <c r="J99" i="2" s="1"/>
  <c r="D93" i="7" s="1"/>
  <c r="H98" i="2"/>
  <c r="I98" i="2" s="1"/>
  <c r="J98" i="2" s="1"/>
  <c r="D92" i="7" s="1"/>
  <c r="H97" i="2"/>
  <c r="I97" i="2" s="1"/>
  <c r="J97" i="2" s="1"/>
  <c r="D91" i="7" s="1"/>
  <c r="H96" i="2"/>
  <c r="I96" i="2" s="1"/>
  <c r="J96" i="2" s="1"/>
  <c r="D90" i="7" s="1"/>
  <c r="H95" i="2"/>
  <c r="I95" i="2" s="1"/>
  <c r="J95" i="2" s="1"/>
  <c r="D89" i="7" s="1"/>
  <c r="H94" i="2"/>
  <c r="I94" i="2" s="1"/>
  <c r="J94" i="2" s="1"/>
  <c r="D88" i="7" s="1"/>
  <c r="H93" i="2"/>
  <c r="I93" i="2" s="1"/>
  <c r="J93" i="2" s="1"/>
  <c r="D87" i="7" s="1"/>
  <c r="H92" i="2"/>
  <c r="I92" i="2" s="1"/>
  <c r="J92" i="2" s="1"/>
  <c r="D86" i="7" s="1"/>
  <c r="H91" i="2"/>
  <c r="I91" i="2" s="1"/>
  <c r="J91" i="2" s="1"/>
  <c r="D85" i="7" s="1"/>
  <c r="H90" i="2"/>
  <c r="I90" i="2" s="1"/>
  <c r="J90" i="2" s="1"/>
  <c r="D84" i="7" s="1"/>
  <c r="H89" i="2"/>
  <c r="I89" i="2" s="1"/>
  <c r="J89" i="2" s="1"/>
  <c r="D83" i="7" s="1"/>
  <c r="H88" i="2"/>
  <c r="I88" i="2" s="1"/>
  <c r="J88" i="2" s="1"/>
  <c r="D82" i="7" s="1"/>
  <c r="H87" i="2"/>
  <c r="I87" i="2" s="1"/>
  <c r="J87" i="2" s="1"/>
  <c r="D81" i="7" s="1"/>
  <c r="H86" i="2"/>
  <c r="I86" i="2" s="1"/>
  <c r="J86" i="2" s="1"/>
  <c r="D80" i="7" s="1"/>
  <c r="H85" i="2"/>
  <c r="I85" i="2" s="1"/>
  <c r="J85" i="2" s="1"/>
  <c r="D79" i="7" s="1"/>
  <c r="H84" i="2"/>
  <c r="I84" i="2" s="1"/>
  <c r="J84" i="2" s="1"/>
  <c r="D78" i="7" s="1"/>
  <c r="H83" i="2"/>
  <c r="I83" i="2" s="1"/>
  <c r="J83" i="2" s="1"/>
  <c r="D77" i="7" s="1"/>
  <c r="H82" i="2"/>
  <c r="I82" i="2" s="1"/>
  <c r="J82" i="2" s="1"/>
  <c r="D76" i="7" s="1"/>
  <c r="H81" i="2"/>
  <c r="I81" i="2" s="1"/>
  <c r="J81" i="2" s="1"/>
  <c r="D75" i="7" s="1"/>
  <c r="H79" i="2"/>
  <c r="I79" i="2" s="1"/>
  <c r="J79" i="2" s="1"/>
  <c r="D73" i="7" s="1"/>
  <c r="H77" i="2"/>
  <c r="I77" i="2" s="1"/>
  <c r="J77" i="2" s="1"/>
  <c r="D71" i="7" s="1"/>
  <c r="H76" i="2"/>
  <c r="I76" i="2" s="1"/>
  <c r="J76" i="2" s="1"/>
  <c r="D70" i="7" s="1"/>
  <c r="I74" i="2"/>
  <c r="J74" i="2" s="1"/>
  <c r="J73" i="2" l="1"/>
  <c r="D68" i="7"/>
  <c r="H139" i="2"/>
  <c r="I139" i="2" s="1"/>
  <c r="J139" i="2" s="1"/>
  <c r="D131" i="7" s="1"/>
  <c r="H136" i="2"/>
  <c r="I136" i="2" s="1"/>
  <c r="J136" i="2" s="1"/>
  <c r="H134" i="2"/>
  <c r="I134" i="2" s="1"/>
  <c r="J134" i="2" s="1"/>
  <c r="D126" i="7" s="1"/>
  <c r="H133" i="2"/>
  <c r="I133" i="2" s="1"/>
  <c r="J133" i="2" s="1"/>
  <c r="D67" i="7" l="1"/>
  <c r="D135" i="7" s="1"/>
  <c r="J132" i="2"/>
  <c r="D124" i="7" s="1"/>
  <c r="D125" i="7"/>
  <c r="D128" i="7"/>
  <c r="J135" i="2"/>
  <c r="G121" i="7"/>
  <c r="I121" i="7" s="1"/>
  <c r="K121" i="7" s="1"/>
  <c r="M121" i="7" s="1"/>
  <c r="O121" i="7" s="1"/>
  <c r="Q121" i="7" s="1"/>
  <c r="B114" i="7"/>
  <c r="C114" i="7"/>
  <c r="G114" i="7"/>
  <c r="I114" i="7" s="1"/>
  <c r="K114" i="7" s="1"/>
  <c r="M114" i="7" s="1"/>
  <c r="O114" i="7" s="1"/>
  <c r="Q114" i="7" s="1"/>
  <c r="B110" i="7"/>
  <c r="C110" i="7"/>
  <c r="B111" i="7"/>
  <c r="C111" i="7"/>
  <c r="K111" i="7"/>
  <c r="M111" i="7" s="1"/>
  <c r="O111" i="7" s="1"/>
  <c r="Q111" i="7" s="1"/>
  <c r="B112" i="7"/>
  <c r="C112" i="7"/>
  <c r="G112" i="7"/>
  <c r="I112" i="7" s="1"/>
  <c r="K112" i="7" s="1"/>
  <c r="M112" i="7" s="1"/>
  <c r="O112" i="7" s="1"/>
  <c r="Q112" i="7" s="1"/>
  <c r="C109" i="7"/>
  <c r="B109" i="7"/>
  <c r="B106" i="7"/>
  <c r="C106" i="7"/>
  <c r="G106" i="7"/>
  <c r="I106" i="7" s="1"/>
  <c r="K106" i="7" s="1"/>
  <c r="M106" i="7" s="1"/>
  <c r="O106" i="7" s="1"/>
  <c r="Q106" i="7" s="1"/>
  <c r="B107" i="7"/>
  <c r="C107" i="7"/>
  <c r="I107" i="7"/>
  <c r="K107" i="7" s="1"/>
  <c r="M107" i="7" s="1"/>
  <c r="O107" i="7" s="1"/>
  <c r="Q107" i="7" s="1"/>
  <c r="G31" i="7"/>
  <c r="I31" i="7" s="1"/>
  <c r="K31" i="7" s="1"/>
  <c r="M31" i="7" s="1"/>
  <c r="O31" i="7" s="1"/>
  <c r="Q31" i="7" s="1"/>
  <c r="G32" i="7"/>
  <c r="I32" i="7" s="1"/>
  <c r="K32" i="7" s="1"/>
  <c r="M32" i="7" s="1"/>
  <c r="O32" i="7" s="1"/>
  <c r="Q32" i="7" s="1"/>
  <c r="G30" i="7"/>
  <c r="I30" i="7" s="1"/>
  <c r="K30" i="7" s="1"/>
  <c r="M30" i="7" s="1"/>
  <c r="O30" i="7" s="1"/>
  <c r="Q30" i="7" s="1"/>
  <c r="G28" i="7"/>
  <c r="I28" i="7" s="1"/>
  <c r="K28" i="7" s="1"/>
  <c r="M28" i="7" s="1"/>
  <c r="O28" i="7" s="1"/>
  <c r="Q28" i="7" s="1"/>
  <c r="G22" i="7"/>
  <c r="I22" i="7" s="1"/>
  <c r="K22" i="7" s="1"/>
  <c r="M22" i="7" s="1"/>
  <c r="O22" i="7" s="1"/>
  <c r="Q22" i="7" s="1"/>
  <c r="G23" i="7"/>
  <c r="I23" i="7" s="1"/>
  <c r="K23" i="7" s="1"/>
  <c r="M23" i="7" s="1"/>
  <c r="O23" i="7" s="1"/>
  <c r="Q23" i="7" s="1"/>
  <c r="G24" i="7"/>
  <c r="I24" i="7" s="1"/>
  <c r="K24" i="7" s="1"/>
  <c r="M24" i="7" s="1"/>
  <c r="O24" i="7" s="1"/>
  <c r="Q24" i="7" s="1"/>
  <c r="G25" i="7"/>
  <c r="I25" i="7" s="1"/>
  <c r="K25" i="7" s="1"/>
  <c r="M25" i="7" s="1"/>
  <c r="O25" i="7" s="1"/>
  <c r="Q25" i="7" s="1"/>
  <c r="G26" i="7"/>
  <c r="I26" i="7" s="1"/>
  <c r="K26" i="7" s="1"/>
  <c r="M26" i="7" s="1"/>
  <c r="O26" i="7" s="1"/>
  <c r="Q26" i="7" s="1"/>
  <c r="G17" i="7"/>
  <c r="I17" i="7" s="1"/>
  <c r="K17" i="7" s="1"/>
  <c r="M17" i="7" s="1"/>
  <c r="O17" i="7" s="1"/>
  <c r="Q17" i="7" s="1"/>
  <c r="G18" i="7"/>
  <c r="I18" i="7" s="1"/>
  <c r="K18" i="7" s="1"/>
  <c r="M18" i="7" s="1"/>
  <c r="O18" i="7" s="1"/>
  <c r="Q18" i="7" s="1"/>
  <c r="G19" i="7"/>
  <c r="I19" i="7" s="1"/>
  <c r="K19" i="7" s="1"/>
  <c r="M19" i="7" s="1"/>
  <c r="O19" i="7" s="1"/>
  <c r="Q19" i="7" s="1"/>
  <c r="G20" i="7"/>
  <c r="I20" i="7" s="1"/>
  <c r="K20" i="7" s="1"/>
  <c r="M20" i="7" s="1"/>
  <c r="O20" i="7" s="1"/>
  <c r="Q20" i="7" s="1"/>
  <c r="E120" i="7" l="1"/>
  <c r="E19" i="7"/>
  <c r="E14" i="7"/>
  <c r="E132" i="7"/>
  <c r="E128" i="7"/>
  <c r="E12" i="7"/>
  <c r="E18" i="7"/>
  <c r="E17" i="7"/>
  <c r="E11" i="7"/>
  <c r="E130" i="7"/>
  <c r="E20" i="7"/>
  <c r="E16" i="7"/>
  <c r="E133" i="7"/>
  <c r="E129" i="7"/>
  <c r="E127" i="7"/>
  <c r="E131" i="7"/>
  <c r="E24" i="7"/>
  <c r="E22" i="7"/>
  <c r="B104" i="7"/>
  <c r="C104" i="7"/>
  <c r="B105" i="7"/>
  <c r="C105" i="7"/>
  <c r="G105" i="7"/>
  <c r="I105" i="7" s="1"/>
  <c r="K105" i="7" s="1"/>
  <c r="M105" i="7" s="1"/>
  <c r="O105" i="7" s="1"/>
  <c r="Q105" i="7" s="1"/>
  <c r="B108" i="7"/>
  <c r="C108" i="7"/>
  <c r="B113" i="7"/>
  <c r="C113" i="7"/>
  <c r="B120" i="7"/>
  <c r="C120" i="7"/>
  <c r="B12" i="7"/>
  <c r="C12" i="7"/>
  <c r="G12" i="7"/>
  <c r="I12" i="7" s="1"/>
  <c r="K12" i="7" s="1"/>
  <c r="M12" i="7" s="1"/>
  <c r="O12" i="7" s="1"/>
  <c r="Q12" i="7" s="1"/>
  <c r="B11" i="7"/>
  <c r="D23" i="5" l="1"/>
  <c r="D22" i="5"/>
  <c r="D25" i="5" l="1"/>
  <c r="H127" i="2" l="1"/>
  <c r="I127" i="2" s="1"/>
  <c r="J127" i="2" s="1"/>
  <c r="H126" i="2"/>
  <c r="I126" i="2" s="1"/>
  <c r="J126" i="2" s="1"/>
  <c r="H28" i="2"/>
  <c r="I28" i="2" s="1"/>
  <c r="J28" i="2" s="1"/>
  <c r="J27" i="2" s="1"/>
  <c r="H111" i="2"/>
  <c r="I111" i="2" s="1"/>
  <c r="J111" i="2" s="1"/>
  <c r="H131" i="2"/>
  <c r="I131" i="2" s="1"/>
  <c r="J131" i="2" s="1"/>
  <c r="D123" i="7" s="1"/>
  <c r="H130" i="2"/>
  <c r="I130" i="2" s="1"/>
  <c r="J130" i="2" s="1"/>
  <c r="D122" i="7" s="1"/>
  <c r="H32" i="2"/>
  <c r="I32" i="2" s="1"/>
  <c r="J32" i="2" s="1"/>
  <c r="D32" i="7" s="1"/>
  <c r="H129" i="2"/>
  <c r="I129" i="2" s="1"/>
  <c r="J129" i="2" s="1"/>
  <c r="H30" i="2"/>
  <c r="I30" i="2" s="1"/>
  <c r="J30" i="2" s="1"/>
  <c r="H16" i="2"/>
  <c r="I16" i="2" s="1"/>
  <c r="J16" i="2" s="1"/>
  <c r="H31" i="2"/>
  <c r="I31" i="2" s="1"/>
  <c r="J31" i="2" s="1"/>
  <c r="D31" i="7" s="1"/>
  <c r="H19" i="2"/>
  <c r="I19" i="2" s="1"/>
  <c r="J19" i="2" s="1"/>
  <c r="D19" i="7" s="1"/>
  <c r="H20" i="2"/>
  <c r="I20" i="2" s="1"/>
  <c r="J20" i="2" s="1"/>
  <c r="D20" i="7" s="1"/>
  <c r="H17" i="2"/>
  <c r="I17" i="2" s="1"/>
  <c r="J17" i="2" s="1"/>
  <c r="D17" i="7" s="1"/>
  <c r="H18" i="2"/>
  <c r="I18" i="2" s="1"/>
  <c r="J18" i="2" s="1"/>
  <c r="D18" i="7" s="1"/>
  <c r="H125" i="2"/>
  <c r="I125" i="2" s="1"/>
  <c r="J125" i="2" s="1"/>
  <c r="D50" i="7"/>
  <c r="D36" i="7"/>
  <c r="D48" i="7"/>
  <c r="D41" i="7"/>
  <c r="D49" i="7"/>
  <c r="H124" i="2"/>
  <c r="I124" i="2" s="1"/>
  <c r="J124" i="2" s="1"/>
  <c r="D118" i="7" s="1"/>
  <c r="D46" i="7"/>
  <c r="D62" i="7"/>
  <c r="D45" i="7"/>
  <c r="D40" i="7"/>
  <c r="D37" i="7"/>
  <c r="D63" i="7"/>
  <c r="D39" i="7"/>
  <c r="D42" i="7"/>
  <c r="D34" i="7"/>
  <c r="D43" i="7"/>
  <c r="D35" i="7"/>
  <c r="D44" i="7"/>
  <c r="D38" i="7"/>
  <c r="D47" i="7"/>
  <c r="D54" i="7"/>
  <c r="D56" i="7"/>
  <c r="D65" i="7"/>
  <c r="D53" i="7"/>
  <c r="D59" i="7"/>
  <c r="D61" i="7"/>
  <c r="D57" i="7"/>
  <c r="D66" i="7"/>
  <c r="D60" i="7"/>
  <c r="D64" i="7"/>
  <c r="D58" i="7"/>
  <c r="D51" i="7"/>
  <c r="D55" i="7"/>
  <c r="D52" i="7"/>
  <c r="H115" i="2"/>
  <c r="I115" i="2" s="1"/>
  <c r="J115" i="2" s="1"/>
  <c r="H122" i="2"/>
  <c r="I122" i="2" s="1"/>
  <c r="J122" i="2" s="1"/>
  <c r="D116" i="7" s="1"/>
  <c r="H112" i="2"/>
  <c r="I112" i="2" s="1"/>
  <c r="J112" i="2" s="1"/>
  <c r="H117" i="2"/>
  <c r="I117" i="2" s="1"/>
  <c r="J117" i="2" s="1"/>
  <c r="D111" i="7" s="1"/>
  <c r="H123" i="2"/>
  <c r="I123" i="2" s="1"/>
  <c r="J123" i="2" s="1"/>
  <c r="D117" i="7" s="1"/>
  <c r="H118" i="2"/>
  <c r="I118" i="2" s="1"/>
  <c r="J118" i="2" s="1"/>
  <c r="D112" i="7" s="1"/>
  <c r="H121" i="2"/>
  <c r="I121" i="2" s="1"/>
  <c r="J121" i="2" s="1"/>
  <c r="D115" i="7" s="1"/>
  <c r="H113" i="2"/>
  <c r="I113" i="2" s="1"/>
  <c r="J113" i="2" s="1"/>
  <c r="D107" i="7" s="1"/>
  <c r="H116" i="2"/>
  <c r="I116" i="2" s="1"/>
  <c r="J116" i="2" s="1"/>
  <c r="D110" i="7" s="1"/>
  <c r="H14" i="2"/>
  <c r="I14" i="2" s="1"/>
  <c r="J14" i="2" s="1"/>
  <c r="J13" i="2" s="1"/>
  <c r="H11" i="2"/>
  <c r="I11" i="2" s="1"/>
  <c r="J11" i="2" s="1"/>
  <c r="H12" i="2"/>
  <c r="I12" i="2" s="1"/>
  <c r="J12" i="2" s="1"/>
  <c r="D12" i="7" s="1"/>
  <c r="H120" i="2"/>
  <c r="I120" i="2" s="1"/>
  <c r="J120" i="2" s="1"/>
  <c r="J110" i="2" l="1"/>
  <c r="I143" i="2" s="1"/>
  <c r="D16" i="7"/>
  <c r="J15" i="2"/>
  <c r="J29" i="2"/>
  <c r="D29" i="7" s="1"/>
  <c r="J10" i="2"/>
  <c r="J114" i="2"/>
  <c r="D108" i="7" s="1"/>
  <c r="D30" i="7"/>
  <c r="D28" i="7"/>
  <c r="D27" i="7"/>
  <c r="D121" i="7"/>
  <c r="J128" i="2"/>
  <c r="D119" i="7"/>
  <c r="J119" i="2"/>
  <c r="D113" i="7" s="1"/>
  <c r="D33" i="7"/>
  <c r="D106" i="7"/>
  <c r="D114" i="7"/>
  <c r="D109" i="7"/>
  <c r="D105" i="7"/>
  <c r="C11" i="7"/>
  <c r="J9" i="2" l="1"/>
  <c r="D104" i="7"/>
  <c r="D120" i="7"/>
  <c r="D24" i="5"/>
  <c r="E24" i="5" s="1"/>
  <c r="E101" i="7" l="1"/>
  <c r="E102" i="7"/>
  <c r="E100" i="7"/>
  <c r="E21" i="7"/>
  <c r="E35" i="7"/>
  <c r="E23" i="7"/>
  <c r="E25" i="7"/>
  <c r="E26" i="7"/>
  <c r="E74" i="7"/>
  <c r="E70" i="7"/>
  <c r="E73" i="7"/>
  <c r="E77" i="7"/>
  <c r="E81" i="7"/>
  <c r="E84" i="7"/>
  <c r="E89" i="7"/>
  <c r="E90" i="7"/>
  <c r="E95" i="7"/>
  <c r="E75" i="7"/>
  <c r="E71" i="7"/>
  <c r="E96" i="7"/>
  <c r="E91" i="7"/>
  <c r="E86" i="7"/>
  <c r="E68" i="7"/>
  <c r="E99" i="7"/>
  <c r="E80" i="7"/>
  <c r="E94" i="7"/>
  <c r="E69" i="7"/>
  <c r="E98" i="7"/>
  <c r="E79" i="7"/>
  <c r="E93" i="7"/>
  <c r="E88" i="7"/>
  <c r="E72" i="7"/>
  <c r="E83" i="7"/>
  <c r="E78" i="7"/>
  <c r="E97" i="7"/>
  <c r="E92" i="7"/>
  <c r="E87" i="7"/>
  <c r="E85" i="7"/>
  <c r="E76" i="7"/>
  <c r="E82" i="7"/>
  <c r="E34" i="7"/>
  <c r="E48" i="7"/>
  <c r="E40" i="7"/>
  <c r="E56" i="7"/>
  <c r="E65" i="7"/>
  <c r="E66" i="7"/>
  <c r="E59" i="7"/>
  <c r="E43" i="7"/>
  <c r="E64" i="7"/>
  <c r="E46" i="7"/>
  <c r="E38" i="7"/>
  <c r="E54" i="7"/>
  <c r="E60" i="7"/>
  <c r="E57" i="7"/>
  <c r="E44" i="7"/>
  <c r="E61" i="7"/>
  <c r="E52" i="7"/>
  <c r="E37" i="7"/>
  <c r="E55" i="7"/>
  <c r="E47" i="7"/>
  <c r="E39" i="7"/>
  <c r="E50" i="7"/>
  <c r="E42" i="7"/>
  <c r="E58" i="7"/>
  <c r="E36" i="7"/>
  <c r="E62" i="7"/>
  <c r="E53" i="7"/>
  <c r="E45" i="7"/>
  <c r="E51" i="7"/>
  <c r="E63" i="7"/>
  <c r="E49" i="7"/>
  <c r="E41" i="7"/>
  <c r="G11" i="7"/>
  <c r="I11" i="7" s="1"/>
  <c r="K11" i="7" s="1"/>
  <c r="M11" i="7" s="1"/>
  <c r="O11" i="7" s="1"/>
  <c r="Q11" i="7" s="1"/>
  <c r="C15" i="7" l="1"/>
  <c r="B15" i="7"/>
  <c r="C14" i="7" l="1"/>
  <c r="B14" i="7"/>
  <c r="C13" i="7"/>
  <c r="B13" i="7"/>
  <c r="B10" i="7"/>
  <c r="C10" i="7"/>
  <c r="G14" i="7"/>
  <c r="I14" i="7" s="1"/>
  <c r="K14" i="7" s="1"/>
  <c r="M14" i="7" s="1"/>
  <c r="O14" i="7" s="1"/>
  <c r="Q14" i="7" s="1"/>
  <c r="E23" i="5" l="1"/>
  <c r="E25" i="5" l="1"/>
  <c r="D11" i="7" l="1"/>
  <c r="D14" i="7" l="1"/>
  <c r="E123" i="7" l="1"/>
  <c r="E125" i="7"/>
  <c r="E124" i="7"/>
  <c r="E126" i="7"/>
  <c r="E122" i="7"/>
  <c r="E121" i="7"/>
  <c r="E117" i="7"/>
  <c r="E118" i="7"/>
  <c r="E116" i="7"/>
  <c r="E115" i="7"/>
  <c r="E119" i="7"/>
  <c r="E103" i="7"/>
  <c r="E67" i="7"/>
  <c r="E32" i="7"/>
  <c r="E31" i="7"/>
  <c r="E30" i="7"/>
  <c r="E29" i="7"/>
  <c r="E33" i="7"/>
  <c r="E28" i="7"/>
  <c r="E27" i="7"/>
  <c r="E114" i="7"/>
  <c r="E111" i="7"/>
  <c r="E109" i="7"/>
  <c r="E112" i="7"/>
  <c r="E110" i="7"/>
  <c r="E106" i="7"/>
  <c r="E107" i="7"/>
  <c r="E10" i="7"/>
  <c r="E104" i="7"/>
  <c r="E108" i="7"/>
  <c r="E113" i="7"/>
  <c r="E105" i="7"/>
  <c r="E13" i="7"/>
  <c r="E15" i="7"/>
  <c r="E135" i="7" l="1"/>
</calcChain>
</file>

<file path=xl/sharedStrings.xml><?xml version="1.0" encoding="utf-8"?>
<sst xmlns="http://schemas.openxmlformats.org/spreadsheetml/2006/main" count="820" uniqueCount="438">
  <si>
    <t>Quantidade</t>
  </si>
  <si>
    <t>Situação</t>
  </si>
  <si>
    <t>Projeto: JF Engenharia</t>
  </si>
  <si>
    <t>Obra Institucional.</t>
  </si>
  <si>
    <t xml:space="preserve">Data: </t>
  </si>
  <si>
    <t xml:space="preserve">Data Base Sinapi: </t>
  </si>
  <si>
    <t>Santa Catarina</t>
  </si>
  <si>
    <t>Localidade Sinapi:</t>
  </si>
  <si>
    <t>Item</t>
  </si>
  <si>
    <t>Descrição</t>
  </si>
  <si>
    <t>Código</t>
  </si>
  <si>
    <t>Fonte</t>
  </si>
  <si>
    <t>Unidade</t>
  </si>
  <si>
    <t>Custo Unitário</t>
  </si>
  <si>
    <t>BDI %</t>
  </si>
  <si>
    <t>Preço Total (R$)</t>
  </si>
  <si>
    <t>Preço Unitário (R$)</t>
  </si>
  <si>
    <t>LOCAÇÃO</t>
  </si>
  <si>
    <t>2.1</t>
  </si>
  <si>
    <t>SINAPI</t>
  </si>
  <si>
    <t>FUNDAÇÃO</t>
  </si>
  <si>
    <t>PLACA DE OBRA EM CHAPA DE ACO GALVANIZADO</t>
  </si>
  <si>
    <t>TIPO DE OBRA DO EMPREENDIMENTO</t>
  </si>
  <si>
    <t>DESONERAÇÃO</t>
  </si>
  <si>
    <t>Conforme legislação tributária municipal, definir estimativa de percentual da base de cálculo para o ISS:</t>
  </si>
  <si>
    <t>Sobre a base de cálculo, definir a respectiva alíquota do ISS (entre 2% e 5%):</t>
  </si>
  <si>
    <t>Itens</t>
  </si>
  <si>
    <t>Siglas</t>
  </si>
  <si>
    <t>% Adotado</t>
  </si>
  <si>
    <t>Intervalo de admissibilidade</t>
  </si>
  <si>
    <t>1º Quartil</t>
  </si>
  <si>
    <t>Médio</t>
  </si>
  <si>
    <t>3º Quartil</t>
  </si>
  <si>
    <t>-</t>
  </si>
  <si>
    <t>CP</t>
  </si>
  <si>
    <t>Tributos (ISS, variável de acordo com o município)</t>
  </si>
  <si>
    <t>ISS</t>
  </si>
  <si>
    <t>Tributos (Contribuição Previdenciária - 0% ou 4,5%, conforme Lei 12.844/2013 - Desoneração)</t>
  </si>
  <si>
    <t>CPRB</t>
  </si>
  <si>
    <t>BDI SEM desoneração
(Fórmula Acórdão TCU)</t>
  </si>
  <si>
    <t>BDI PAD</t>
  </si>
  <si>
    <t>BDI COM desoneração</t>
  </si>
  <si>
    <t>BDI DES</t>
  </si>
  <si>
    <t>Os valores de BDI foram calculados com o emprego da fórmula:</t>
  </si>
  <si>
    <t xml:space="preserve"> - 1</t>
  </si>
  <si>
    <t>QUADRO DE COMPOSIÇÃO DO BDI</t>
  </si>
  <si>
    <t>Adiministração Central</t>
  </si>
  <si>
    <t>AC</t>
  </si>
  <si>
    <t>Seguro e Garantia</t>
  </si>
  <si>
    <t>Risco</t>
  </si>
  <si>
    <t>Despesas Financeiras</t>
  </si>
  <si>
    <t>Lucro</t>
  </si>
  <si>
    <t>Triburos (impostos COFINS 3%, e PIS 0,65%)</t>
  </si>
  <si>
    <t>SG</t>
  </si>
  <si>
    <t>R</t>
  </si>
  <si>
    <t>DF</t>
  </si>
  <si>
    <t>L</t>
  </si>
  <si>
    <t xml:space="preserve">Declaro para os devidos fins que, conforme legislação tributária mnicipal, a base de calculo para Construção e Reforma, é de 100%, com a respectiva alíquota de 3%. </t>
  </si>
  <si>
    <t xml:space="preserve">Construção e Reforma de Edifícios </t>
  </si>
  <si>
    <t>Declaro para os devidos fins que o regime de Contribuição Previdenciária sobre a Receita Bruta adotado para elaboração do orçamento foi com Desoneração, e que esta é a alternativa mais adequada para a Administração Pública.</t>
  </si>
  <si>
    <t>3.1</t>
  </si>
  <si>
    <t>3.2</t>
  </si>
  <si>
    <t>3.3</t>
  </si>
  <si>
    <t>4.1</t>
  </si>
  <si>
    <t>4.2</t>
  </si>
  <si>
    <t>4.3</t>
  </si>
  <si>
    <t>EMPRESA</t>
  </si>
  <si>
    <t>DATA</t>
  </si>
  <si>
    <t>CONTATO</t>
  </si>
  <si>
    <t>E-MAIL</t>
  </si>
  <si>
    <t>TELEFONE</t>
  </si>
  <si>
    <t>CRONOGRAMA FÍSICO - FINANCEIRO</t>
  </si>
  <si>
    <t>ITEM</t>
  </si>
  <si>
    <t>DISCRIMINAÇÃO DE SERVIÇOS</t>
  </si>
  <si>
    <t>VALOR DOS SERVIÇOS (R$)</t>
  </si>
  <si>
    <t>PESO %</t>
  </si>
  <si>
    <t>SERVIÇOS A EXECUTAR</t>
  </si>
  <si>
    <t>MÊS - 01</t>
  </si>
  <si>
    <t>MÊS - 02</t>
  </si>
  <si>
    <t>MÊS - 03</t>
  </si>
  <si>
    <t>MÊS - 04</t>
  </si>
  <si>
    <t>SIMPL.%</t>
  </si>
  <si>
    <t>ACUM. %</t>
  </si>
  <si>
    <t>TOTAL</t>
  </si>
  <si>
    <t>PLANILHA ORÇAMENTÁRIA</t>
  </si>
  <si>
    <t>BDI.DES=</t>
  </si>
  <si>
    <t>1 - CP - ISS - CRPB</t>
  </si>
  <si>
    <t>(1 + AC + S + R + G)*(1 + DF)*(1 + L)</t>
  </si>
  <si>
    <t xml:space="preserve">GESTÃO DE ORÇAMENTOS </t>
  </si>
  <si>
    <t>PESQUISA DE MERCADO</t>
  </si>
  <si>
    <t>CANTEIRO DE OBRAS E PREPARAÇÃO DO TERRENO</t>
  </si>
  <si>
    <t>7.1</t>
  </si>
  <si>
    <t>sim</t>
  </si>
  <si>
    <t>ESTRUTURA</t>
  </si>
  <si>
    <t>1.1</t>
  </si>
  <si>
    <t>CREA/SC 106152-8</t>
  </si>
  <si>
    <t xml:space="preserve">QUARTEL </t>
  </si>
  <si>
    <t>1.2</t>
  </si>
  <si>
    <t>SISTEMA HIDROSSANITÁRIO E IMPERMEABILIZAÇÕES</t>
  </si>
  <si>
    <t>SISTEMA ELÉTRICO</t>
  </si>
  <si>
    <t>ESQUADRIAS E MADEIRAS</t>
  </si>
  <si>
    <t>ESQUADRIAS DE ALUMÍNIO</t>
  </si>
  <si>
    <t>REVESTIMENTOS</t>
  </si>
  <si>
    <t>10.2</t>
  </si>
  <si>
    <t>11.1</t>
  </si>
  <si>
    <t>11.2</t>
  </si>
  <si>
    <t>12.1</t>
  </si>
  <si>
    <t>12.2</t>
  </si>
  <si>
    <t>12.4</t>
  </si>
  <si>
    <t>13.1</t>
  </si>
  <si>
    <t>13.2</t>
  </si>
  <si>
    <t>13.3</t>
  </si>
  <si>
    <t>EXECUÇÃO DE SANITÁRIO E VESTIÁRIO EM CANTEIRO DE OBRA EM CHAPA DE MADEIRA COMPENSADA, NÃO INCLUSO MOBILIÁRIO. AF_02/2016</t>
  </si>
  <si>
    <t>MÊS - 05</t>
  </si>
  <si>
    <t>MÊS - 06</t>
  </si>
  <si>
    <t>KIT DE PORTA DE MADEIRA PARA PINTURA, SEMI-OCA (LEVE OU MÉDIA), PADRÃO MÉDIO, 70X210CM, ESPESSURA DE 3,5CM, ITENS INCLUSOS: DOBRADIÇAS, MONTAGEM E INSTALAÇÃO DO BATENTE, FECHADURA COM EXECUÇÃO DO FURO - FORNECIMENTO E INSTALAÇÃO. AF_08/2015</t>
  </si>
  <si>
    <t xml:space="preserve"> KIT DE PORTA DE MADEIRA PARA PINTURA, SEMI-OCA (LEVE OU MÉDIA), PADRÃO MÉDIO, 80X210CM, ESPESSURA DE 3,5CM, ITENS INCLUSOS: DOBRADIÇAS, MONTAGEM E INSTALAÇÃO DO BATENTE, FECHADURA COM EXECUÇÃO DO FURO - FORNECIMENTO E INSTALAÇÃO. AF_08/2015</t>
  </si>
  <si>
    <t>REVESTIMENTO CERÂMICO PARA PAREDES INTERNAS COM PLACAS TIPO ESMALTADA PADRÃO POPULAR DE DIMENSÕES 20X20 CM APLICADAS EM AMBIENTES DE ÁREA MAIOR QUE 5 M2 NA ALTURA INTEIRA DAS PAREDES. AF_06/2014</t>
  </si>
  <si>
    <t>kg</t>
  </si>
  <si>
    <t>LAVATÓRIO LOUÇA BRANCA COM COLUNA, *44 X 35,5* CM, PADRÃO POPULAR - FORNECIMENTO E INSTALAÇÃO. AF_12/2013</t>
  </si>
  <si>
    <t>JUNÇÃO SIMPLES, PVC, SERIE NORMAL, ESGOTO PREDIAL, DN 100 X 100 MM, JUNTA ELÁSTICA, FORNECIDO E INSTALADO EM RAMAL DE DESCARGA OU RAMAL DE ESGOTO SANITÁRIO. AF_12/2014</t>
  </si>
  <si>
    <t>JOELHO 90 GRAUS, PVC, SERIE R, ÁGUA PLUVIAL, DN 100 MM, JUNTA ELÁSTICA, FORNECIDO E INSTALADO EM RAMAL DE ENCAMINHAMENTO. AF_12/2014</t>
  </si>
  <si>
    <t>CURVA CURTA 90 GRAUS, PVC, SERIE NORMAL, ESGOTO PREDIAL, DN 40 MM, JUNTA SOLDÁVEL, FORNECIDO E INSTALADO EM RAMAL DE DESCARGA OU RAMAL DE ESGOTO SANITÁRIO. AF_12/2014</t>
  </si>
  <si>
    <t>JOELHO 90 GRAUS, PVC, SERIE NORMAL, ESGOTO PREDIAL, DN 50 MM, JUNTA ELÁSTICA, FORNECIDO E INSTALADO EM RAMAL DE DESCARGA OU RAMAL DE ESGOTO SANITÁRIO. AF_12/2014</t>
  </si>
  <si>
    <t>JOELHO 90 GRAUS, PVC, SERIE NORMAL, ESGOTO PREDIAL, DN 100 MM, JUNTA ELÁSTICA, FORNECIDO E INSTALADO EM RAMAL DE DESCARGA OU RAMAL DE ESGOTO SANITÁRIO. AF_12/2014</t>
  </si>
  <si>
    <t>JOELHO 45 GRAUS, PVC, SERIE NORMAL, ESGOTO PREDIAL, DN 40 MM, JUNTA SOLDÁVEL, FORNECIDO E INSTALADO EM RAMAL DE DESCARGA OU RAMAL DE ESGOTO SANITÁRIO. AF_12/2014</t>
  </si>
  <si>
    <t>JOELHO 45 GRAUS, PVC, SERIE NORMAL, ESGOTO PREDIAL, DN 50 MM, JUNTA ELÁSTICA, FORNECIDO E INSTALADO EM RAMAL DE DESCARGA OU RAMAL DE ESGOTO SANITÁRIO. AF_12/2014</t>
  </si>
  <si>
    <t>JOELHO 45 GRAUS, PVC, SERIE NORMAL, ESGOTO PREDIAL, DN 100 MM, JUNTA ELÁSTICA, FORNECIDO E INSTALADO EM RAMAL DE DESCARGA OU RAMAL DE ESGOTO SANITÁRIO. AF_12/2014</t>
  </si>
  <si>
    <t>CAIXA SIFONADA, PVC, DN 100 X 100 X 50 MM, FORNECIDA E INSTALADA EM RAMAIS DE ENCAMINHAMENTO DE ÁGUA PLUVIAL. AF_12/2014</t>
  </si>
  <si>
    <t>JOELHO 45 GRAUS, PVC, SOLDÁVEL, DN 25MM, INSTALADO EM RAMAL DE DISTRIBUIÇÃO DE ÁGUA - FORNECIMENTO E INSTALAÇÃO. AF_12/2014</t>
  </si>
  <si>
    <t>JOELHO 90 GRAUS, PVC, SOLDÁVEL, DN 25MM, INSTALADO EM RAMAL DE DISTRIBUIÇÃO DE ÁGUA - FORNECIMENTO E INSTALAÇÃO. AF_12/2014</t>
  </si>
  <si>
    <t>REGISTRO DE GAVETA BRUTO, LATÃO, ROSCÁVEL, 1/2", FORNECIDO E INSTALADO EM RAMAL DE ÁGUA. AF_12/2014</t>
  </si>
  <si>
    <t>TE, PVC, SOLDÁVEL, DN 25MM, INSTALADO EM RAMAL OU SUB-RAMAL DE ÁGUA - FORNECIMENTO E INSTALAÇÃO. AF_12/2014</t>
  </si>
  <si>
    <t xml:space="preserve">CAIXA DE AREIA 40X40X40CM EM ALVENARIA - EXECUÇÃO </t>
  </si>
  <si>
    <t>EMBOÇO, PARA RECEBIMENTO DE CERÂMICA, EM ARGAMASSA TRAÇO 1:2:8, PREPAR O MECÂNICO COM BETONEIRA 400L, APLICADO MANUALMENTE EM FACES INTERNAS DE PAREDES, PARA AMBIENTE COM ÁREA MAIOR QUE 10M2, ESPESSURA DE 10MM, COM EXECUÇÃO DE TALISCAS. AF_06/2014</t>
  </si>
  <si>
    <t>REJUNTE BRANCO, CIMENTICIO</t>
  </si>
  <si>
    <t>CAIXA DE INSPEÇÃO EM CONCRETO PRÉ-MOLDADO DN 60CM COM TAMPA H= 60CM - FORNECIMENTO E INSTALACAO</t>
  </si>
  <si>
    <t>TUBO PVC, SERIE NORMAL, ESGOTO PREDIAL, DN 40 MM, FORNECIDO E INSTALAD O EM RAMAL DE DESCARGA OU RAMAL DE ESGOTO SANITÁRIO. AF_12/2014</t>
  </si>
  <si>
    <t>TUBO PVC, SERIE NORMAL, ESGOTO PREDIAL, DN 50 MM, FORNECIDO E INSTALADO EM RAMAL DE DESCARGA OU RAMAL DE ESGOTO SANITÁRIO. AF_12/2014</t>
  </si>
  <si>
    <t>TUBO, PVC, SOLDÁVEL, DN 25 MM, INSTALADO EM RESERVAÇÃO DE ÁGUA DE EDIFICAÇÃO QUE POSSUA RESERVATÓRIO DE FIBRA/FIBROCIMENTO FORNECIMENTO E INSTALAÇÃO. AF_06/2016</t>
  </si>
  <si>
    <t>TÊ, PVC, SOLDÁVEL, DN 40 MM INSTALADO EM RESERVAÇÃO DE ÁGUA DE EDIFICAÇÃO QUE POSSUA RESERVATÓRIO DE FIBRA/FIBROCIMENTO FORNECIMENTO E INSTALAÇÃO. AF_06/2016</t>
  </si>
  <si>
    <t>TORNEIRA DE BÓIA REAL, ROSCÁVEL, 1/2", FORNECIDA E INSTALADA EM RESERVAÇÃO DE ÁGUA. AF_06/2016</t>
  </si>
  <si>
    <t>KIT DE REGISTRO DE PRESSÃO BRUTO DE LATÃO ½", INCLUSIVE CONEXÕES, ROSCÁVEL, INSTALADO EM RAMAL DE ÁGUA FRIA - FORNECIMENTO E INSTALAÇÃO. AF_12/2014</t>
  </si>
  <si>
    <t>JOELHO 90 GRAUS, PVC, SOLDÁVEL, DN 40 MM INSTALADO EM RESERVAÇÃO DE ÁGUA DE EDIFICAÇÃO QUE POSSUA RESERVATÓRIO DE FIBRA/FIBROCIMENTO FORNECIMENTO E INSTALAÇÃO. AF_06/2016</t>
  </si>
  <si>
    <t>TORNEIRA CROMADA DE MESA, 1/2" OU 3/4", PARA LAVATÓRIO, PADRÃO POPULAR- FORNECIMENTO E INSTALAÇÃO. AF_12/2013</t>
  </si>
  <si>
    <t>DIVISORIA EM GRANITO BRANCO POLIDO, ESP = 3CM, ASSENTADO COM ARGAMASSA TRACO 1:4, ARREMATE EM CIMENTO BRANCO, EXCLUSIVE FERRAGENS</t>
  </si>
  <si>
    <t>REVESTIMENTO CERÂMICO PARA PISO COM PLACAS TIPO ESMALTADA EXTRA DE DIMENSÕES 60X60 CM APLICADA EM AMBIENTES DE ÁREA MAIOR QUE 10 M2. AF_06/2014</t>
  </si>
  <si>
    <t>VASO SANITÁRIO SIFONADO COM CAIXA ACOPLADA LOUÇA BRANCA, INCLUSO ENGATE FLEXÍVEL EM PLÁSTICO BRANCO, 1/2 X 40CM - FORNECIMENTO E INSTALAÇÃO. AF_12/2013</t>
  </si>
  <si>
    <t>TUBO PVC, SERIE NORMAL, ESGOTO PREDIAL, DN 100 MM, FORNECIDO E INSTALADO EM RAMAL DE DESCARGA OU RAMAL DE ESGOTO SANITÁRIO. AF_12/2014</t>
  </si>
  <si>
    <t>KIT CHUVEIRO PARA INSTALACAO PEX, QUADRO METALICO COM 2 TRAVESSAS, SUPERIOR COM ESPERA PARA CHUVEIRO E INFERIOR COM 2 REGISTROS DE PRESSAO DE 1/2 ",LARGURA DE *390* MM X ALTURA DE *900* MM, PARA CONEXAO COM ANEL DESLIZANTE (INCLUI REGISTROS PRESSAO E TUBOS PEX COM CONEXOES, SEM REGISTRO GAVETA, NAO INCLUI CARENAGEM)</t>
  </si>
  <si>
    <t>7.2</t>
  </si>
  <si>
    <t>7.3</t>
  </si>
  <si>
    <t>11.3</t>
  </si>
  <si>
    <t>12.3</t>
  </si>
  <si>
    <t>TORNEIRA CROMADA TUBO MÓVEL, DE MESA, 1/2" OU 3/4", PARA PIA DE COZINH UN CR 106,67
A, PADRÃO ALTO - FORNECIMENTO E INSTALAÇÃO. AF_12/2013</t>
  </si>
  <si>
    <t>TUBO, PVC, SOLDÁVEL, DN 50MM, INSTALADO EM PRUMADA DE ÁGUA - FORNECIMENTO E INSTALAÇÃO. AF_12/2014</t>
  </si>
  <si>
    <t>ESPELHO CRISTAL, ESPESSURA 4MM, COM PARAFUSOS DE FIXACAO, SEM MOLDURA M2 CR 254,89</t>
  </si>
  <si>
    <t>KIT DE ACESSORIOS PARA BANHEIRO EM METAL CROMADO, 5 PECAS, INCLUSO FIX UN CR 89,37
AÇÃO. AF_10/2016</t>
  </si>
  <si>
    <t>CORTE E DOBRA DE AÇO CA-50, DIÂMETRO DE 8,0 MM, UTILIZADO EM ESTRUTURAS DIVERSAS, EXCETO LAJES. AF_12/2015</t>
  </si>
  <si>
    <t>CORTE E DOBRA DE AÇO CA-50, DIÂMETRO DE 10,0 MM, UTILIZADO EM ESTRUTURAS DIVERSAS, EXCETO LAJES. AF_12/2015</t>
  </si>
  <si>
    <t>CORTE E DOBRA DE AÇO CA-60, DIÂMETRO DE 5,0 MM, UTILIZADO EM ESTRUTURAS DIVERSAS, EXCETO LAJES. AF_12/2015</t>
  </si>
  <si>
    <t>3.4</t>
  </si>
  <si>
    <t>CONCRETAGEM DE SAPATAS, FCK 30 MPA, COM USO DE BOMBA  LANÇAMENTO, ADENSAMENTO E ACABAMENTO. AF_11/2016</t>
  </si>
  <si>
    <t>FABRICAÇÃO, MONTAGEM E DESMONTAGEM DE FÔRMA PARA SAPATA, EM MADEIRA SERRADA, E=25 MM, 2 UTILIZAÇÕES. AF_06/2017</t>
  </si>
  <si>
    <t>IMPERMEABILIZACAO DE SUPERFICIE, COM IMPERMEABILIZANTE FLEXIVEL A BASE ACRILICA.</t>
  </si>
  <si>
    <t xml:space="preserve">MANTA IMPERMEABILIZANTE A BASE DE ASFALTO - FORNECIMENTO E INSTALACAO </t>
  </si>
  <si>
    <t>6.1</t>
  </si>
  <si>
    <t>15.1</t>
  </si>
  <si>
    <t>15.2</t>
  </si>
  <si>
    <t>SISTEMA DE PREVENÇÃO CONTRA INCÊNDIO</t>
  </si>
  <si>
    <t>LUMINÁRIA DE EMERGÊNCIA - FORNECIMENTO E INSTALAÇÃO. AF_11/2017</t>
  </si>
  <si>
    <t>EXTINTOR DE PQS 4KG - FORNECIMENTO E INSTALACAO</t>
  </si>
  <si>
    <t>INSTALAÇÃO DE GLP</t>
  </si>
  <si>
    <t>REGISTRO OU REGULADOR DE GAS COZINHA, VAZAO DE 2 KG/H, 2,8 KPA</t>
  </si>
  <si>
    <t>INTERRUPTOR PARALELO (1 MÓDULO), 10A/250V, INCLUINDO SUPORTE E PLACA - FORNECIMENTO E INSTALAÇÃO. AF_12/2015</t>
  </si>
  <si>
    <t>INTERRUPTOR PARALELO (2 MÓDULOS), 10A/250V, INCLUINDO SUPORTE E PLACA - FORNECIMENTO E INSTALAÇÃO. AF_12/2015</t>
  </si>
  <si>
    <t>INTERRUPTOR SIMPLES (1 MÓDULO), 10A/250V, INCLUINDO SUPORTE E PLACA - FORNECIMENTO E INSTALAÇÃO. AF_12/2015</t>
  </si>
  <si>
    <t>INTERRUPTOR SIMPLES (1 MÓDULO) COM 1 TOMADA DE EMBUTIR 2P+T 10 A, INCLUINDO SUPORTE E PLACA - FORNECIMENTO E INSTALAÇÃO. AF_12/2015</t>
  </si>
  <si>
    <t>TOMADA MÉDIA DE EMBUTIR (1 MÓDULO), 2P+T 10 A, INCLUINDO SUPORTE E PLACA - FORNECIMENTO E INSTALAÇÃO. AF_12/2015</t>
  </si>
  <si>
    <t>TOMADA BAIXA DE EMBUTIR (1 MÓDULO), 2P+T 10 A, INCLUINDO SUPORTE E PLACA - FORNECIMENTO E INSTALAÇÃO. AF_12/2015</t>
  </si>
  <si>
    <t>TOMADA MÉDIA DE EMBUTIR (2 MÓDULOS), 2P+T 10 A, INCLUINDO SUPORTE E PLACA - FORNECIMENTO E INSTALAÇÃO. AF_12/2015</t>
  </si>
  <si>
    <t>TOMADA BAIXA DE EMBUTIR (2 MÓDULOS), 2P+T 10 A, INCLUINDO SUPORTE E PLACA - FORNECIMENTO E INSTALAÇÃO. AF_12/2015</t>
  </si>
  <si>
    <t>TOMADA BAIXA DE EMBUTIR (3 MÓDULOS), 2P+T 10 A, INCLUINDO SUPORTE E PLACA - FORNECIMENTO E INSTALAÇÃO. AF_12/2015</t>
  </si>
  <si>
    <t>LUMINÁRIA ARANDELA TIPO MEIA-LUA, PARA 1 LÂMPADA LED - FORNECIMENTO E INSTALAÇÃO. AF_11/2017</t>
  </si>
  <si>
    <t>LUMINÁRIA TIPO CALHA, DE SOBREPOR, COM 2 LÂMPADAS TUBULARES DE 36 W - FORNECIMENTO E INSTALAÇÃO. AF_11/2017</t>
  </si>
  <si>
    <t>LUMINÁRIA TIPO PLAFON EM PLÁSTICO, DE SOBREPOR, COM 1 LÂMPADA DE 15 W - FORNECIMENTO E INSTALAÇÃO. AF_11/2017</t>
  </si>
  <si>
    <t>CHUVEIRO ELETRICO COMUM CORPO PLASTICO TIPO DUCHA, FORNECIMENTO E INSTALACAO</t>
  </si>
  <si>
    <t>CABO DE COBRE FLEXÍVEL ISOLADO, 1,5 MM², ANTI-CHAMA 450/750 V, PARA CIRCUITOS TERMINAIS - FORNECIMENTO E INSTALAÇÃO. AF_12/2015</t>
  </si>
  <si>
    <t>CABO DE COBRE FLEXÍVEL ISOLADO, 2,5 MM², ANTI-CHAMA 450/750 V, PARA CIRCUITOS TERMINAIS - FORNECIMENTO E INSTALAÇÃO. AF_12/2015</t>
  </si>
  <si>
    <t>CABO DE COBRE FLEXÍVEL ISOLADO, 4 MM², ANTI-CHAMA 450/750 V, PARA CIRCUITOS TERMINAIS - FORNECIMENTO E INSTALAÇÃO. AF_12/2015</t>
  </si>
  <si>
    <t>CABO DE COBRE FLEXÍVEL ISOLADO, 6 MM², ANTI-CHAMA 450/750 V, PARA CIRCUITOS TERMINAIS - FORNECIMENTO E INSTALAÇÃO. AF_12/2015</t>
  </si>
  <si>
    <t>QUADRO DE DISTRIBUICAO DE ENERGIA DE EMBUTIR, EM CHAPA METALICA, PARA 40 DISJUNTORES TERMOMAGNETICOS MONOPOLARES, COM BARRAMENTO TRIFASICO E NEUTRO, FORNECIMENTO E INSTALACAO</t>
  </si>
  <si>
    <t>DISJUNTOR MONOPOLAR TIPO DIN, CORRENTE NOMINAL DE 10A - FORNECIMENTO E INSTALAÇÃO. AF_04/2016</t>
  </si>
  <si>
    <t>DISJUNTOR MONOPOLAR TIPO DIN, CORRENTE NOMINAL DE 16A - FORNECIMENTO E INSTALAÇÃO. AF_04/2016</t>
  </si>
  <si>
    <t>DISJUNTOR MONOPOLAR TIPO DIN, CORRENTE NOMINAL DE 20A - FORNECIMENTO E INSTALAÇÃO. AF_04/2016</t>
  </si>
  <si>
    <t>DISJUNTOR MONOPOLAR TIPO DIN, CORRENTE NOMINAL DE 32A - FORNECIMENTO E INSTALAÇÃO. AF_04/2016</t>
  </si>
  <si>
    <t>TOMADA PARA TELEFONE RJ11 - FORNECIMENTO E INSTALAÇÃO. AF_03/2018</t>
  </si>
  <si>
    <t>TOMADA DE REDE RJ45 - FORNECIMENTO E INSTALAÇÃO. AF_03/2018</t>
  </si>
  <si>
    <t>ELETRODUTO FLEXÍVEL CORRUGADO, PVC, DN 25 MM (3/4"), PARA CIRCUITOS TERMINAIS, INSTALADO EM LAJE - FORNECIMENTO E INSTALAÇÃO. AF_12/2015</t>
  </si>
  <si>
    <t>ELETRODUTO FLEXÍVEL CORRUGADO, PVC, DN 32 MM (1"), PARA CIRCUITOS TERMINAIS, INSTALADO EM LAJE - FORNECIMENTO E INSTALAÇÃO. AF_12/2015</t>
  </si>
  <si>
    <t>Cliente: Corpo de Bombeiros Santo Amaro da Imperatriz</t>
  </si>
  <si>
    <t>Endereço: RUA PEDRO BECKER, S/N, BAIRRO VILLA BECKER, SANTO AMARO DA IMPERATRIZ, SC.</t>
  </si>
  <si>
    <r>
      <t>ENG.º CIVIL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>RUDICLEY WILLIAM MOREIRA</t>
    </r>
  </si>
  <si>
    <t>Endereço: Rua Pedro Becker - Villa Becker - Santo Amaro da Imperatriz</t>
  </si>
  <si>
    <t xml:space="preserve">VALOR </t>
  </si>
  <si>
    <t>vb</t>
  </si>
  <si>
    <t>Serralheria</t>
  </si>
  <si>
    <t>Guido José Faria Junior</t>
  </si>
  <si>
    <t>contato@mariaclaraimoveis.com.br</t>
  </si>
  <si>
    <t>(48) 98483-2222</t>
  </si>
  <si>
    <t>Fenster Do Brasil</t>
  </si>
  <si>
    <t>Santana Vidraçaria</t>
  </si>
  <si>
    <t>contato@fensterdobrasil.com.br</t>
  </si>
  <si>
    <t>Elaine Alves Machado</t>
  </si>
  <si>
    <t>santana.vidro@hotmail.com</t>
  </si>
  <si>
    <t>Marco Aurélio</t>
  </si>
  <si>
    <t>serralheria_barreiros@hotmail.com</t>
  </si>
  <si>
    <t>PAREDE COM PLACAS DE GESSO ACARTONADO (DRYWALL), PARA USO INTERNO, COM UMA FACE SIMPLES E ESTRUTURA METÁLICA COM GUIAS SIMPLES, COM VÃOS. AF_06/2017_P</t>
  </si>
  <si>
    <t>3.5</t>
  </si>
  <si>
    <t>MERDADO</t>
  </si>
  <si>
    <t>MERCADO</t>
  </si>
  <si>
    <t>Valéria Rodrigues</t>
  </si>
  <si>
    <t>contato6@itajaicontainers.com.br</t>
  </si>
  <si>
    <t>Metalpriss</t>
  </si>
  <si>
    <t>contato@metalpriss.com.br</t>
  </si>
  <si>
    <t>Renato Medeiros</t>
  </si>
  <si>
    <t>Orbital</t>
  </si>
  <si>
    <t>Solange</t>
  </si>
  <si>
    <t>orbital.aluminio@hotmail.com</t>
  </si>
  <si>
    <t>(48) 3245-1272</t>
  </si>
  <si>
    <t>(48) 3344-5041</t>
  </si>
  <si>
    <t>(48) 3030-0512</t>
  </si>
  <si>
    <t>(48) 3342-4129</t>
  </si>
  <si>
    <t>CONTAINERS</t>
  </si>
  <si>
    <t>Multi Container</t>
  </si>
  <si>
    <t>Roberto Ortega</t>
  </si>
  <si>
    <t>comercial@multicontainer.com.br</t>
  </si>
  <si>
    <t>(41) 3103-5555</t>
  </si>
  <si>
    <t>PORTÃO DE ENTRADA</t>
  </si>
  <si>
    <t>serralheriadotrevo@gmail.com</t>
  </si>
  <si>
    <t>(48) 3245-3767</t>
  </si>
  <si>
    <t>Serralheria do trevo</t>
  </si>
  <si>
    <t>4.4</t>
  </si>
  <si>
    <t>CONCRETAGEM DE PILARES, FCK = 25 MPA, COM USO DE GRUA EM EDIFICAÇÃO COM SEÇÃO MÉDIA DE PILARES MAIOR QUE 0,25 M² - LANÇAMENTO, ADENSAMENTO E ACABAMENTO. AF_12/2015</t>
  </si>
  <si>
    <t>4.5</t>
  </si>
  <si>
    <t>MONTAGEM E DESMONTAGEM DE FÔRMA DE PILARES RETANGULARES E ESTRUTURAS SIMILARES COM ÁREA MÉDIA DAS SEÇÕES MAIOR QUE 0,25 M², PÉ-DIREITO SIMPLES, EM MADEIRA SERRADA, 1 UTILIZAÇÃO. AF_12/2015</t>
  </si>
  <si>
    <t>AR CONDICIONADO</t>
  </si>
  <si>
    <t>MEZANINO COM GUARDA CORPO</t>
  </si>
  <si>
    <t>ESCADA COM GUARDA CORPO</t>
  </si>
  <si>
    <t>FORRO EM DRYWALL, PARA AMBIENTES RESIDENCIAIS, INCLUSIVE ESTRUTURA DE FIXAÇÃO. AF_05/2017_P</t>
  </si>
  <si>
    <t xml:space="preserve">DRYWALL </t>
  </si>
  <si>
    <t>TUBO DE AÇO GALVANIZADO COM COSTURA, CLASSE MÉDIA, CONEXÃO SOLDADA, DN 20 (3/4"), INSTALADO EM RAMAIS E SUB-RAMAIS DE GÁS - FORNECIMENTO E INSTALAÇÃO. AF_12/2015</t>
  </si>
  <si>
    <t>JOELHO 45 GRAUS, EM FERRO GALVANIZADO, CONEXÃO ROSQUEADA, DN 20 (3/4"), INSTALADO EM RAMAIS E SUB-RAMAIS DE GÁS - FORNECIMENTO E INSTALAÇÃO. AF_12/2015</t>
  </si>
  <si>
    <t>JOELHO 90 GRAUS, EM FERRO GALVANIZADO, CONEXÃO ROSQUEADA, DN 20 (3/4"), INSTALADO EM RAMAIS E SUB-RAMAIS DE GÁS - FORNECIMENTO E INSTALAÇÃO. AF_12/2015</t>
  </si>
  <si>
    <t>GRADE DE VENTILAÇÃO PERMANENTE</t>
  </si>
  <si>
    <t>CARGA DE BOTIJÃO DE GLP P-13</t>
  </si>
  <si>
    <r>
      <t>J.F. ENGENHARIA LTDA</t>
    </r>
    <r>
      <rPr>
        <sz val="10"/>
        <color theme="1" tint="0.34998626667073579"/>
        <rFont val="Arial"/>
        <family val="2"/>
      </rPr>
      <t xml:space="preserve">
Rua Prefeito José Kehrig, 5333 - Sala 105
Santo Amaro da Imperatriz - SC
Fone: (48) 32453568
e-mail: contato@jfengenhariasc.com.br</t>
    </r>
  </si>
  <si>
    <t>74209/1</t>
  </si>
  <si>
    <t>PAREDE COM PLACAS DE GESSO ACARTONADO (DRYWALL), PARA USO INTERNO, COM DUAS FACES SIMPLES E ESTRUTURA METÁLICA COM GUIAS SIMPLES, COM VÃOS AF_06/2017_P</t>
  </si>
  <si>
    <t>9.1</t>
  </si>
  <si>
    <t>9.2</t>
  </si>
  <si>
    <t>9.3</t>
  </si>
  <si>
    <t xml:space="preserve"> ARMAÇÃO DE BLOCO, VIGA BALDRAME OU SAPATA UTILIZANDO AÇO CA-50 DE 10 MM - MONTAGEM. AF_06/2017</t>
  </si>
  <si>
    <t>ARMAÇÃO DE BLOCO, VIGA BALDRAME OU SAPATA UTILIZANDO AÇO CA-50 DE 8 MM - MONTAGEM. AF_06/2017</t>
  </si>
  <si>
    <t xml:space="preserve"> ARMAÇÃO DE BLOCO, VIGA BALDRAME E SAPATA UTILIZANDO AÇO CA-60 DE 5 MM - MONTAGEM. AF_06/2017</t>
  </si>
  <si>
    <t>Container Palhoça</t>
  </si>
  <si>
    <t>(47) 99977-7924</t>
  </si>
  <si>
    <t>Itajai Containers</t>
  </si>
  <si>
    <t>m²</t>
  </si>
  <si>
    <t>m³</t>
  </si>
  <si>
    <t>uni</t>
  </si>
  <si>
    <t>m</t>
  </si>
  <si>
    <t>Celso Batista</t>
  </si>
  <si>
    <t>(48) 3333-6334</t>
  </si>
  <si>
    <r>
      <t>ENG.º CIVIL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RUDICLEY WILLIAM MOREIRA</t>
    </r>
  </si>
  <si>
    <t>Serralheria Barreiros</t>
  </si>
  <si>
    <t>Deivid Valentini</t>
  </si>
  <si>
    <t>LOUÇAS, METAIS E ACESSÓRIOS</t>
  </si>
  <si>
    <t>SERRALHERIA</t>
  </si>
  <si>
    <t>Cassol</t>
  </si>
  <si>
    <t>Zeus Brasil</t>
  </si>
  <si>
    <t>Frio Shopping</t>
  </si>
  <si>
    <t>(48) 4007-2022</t>
  </si>
  <si>
    <t>(12) 3204-5257</t>
  </si>
  <si>
    <t>2,5 Sintenax</t>
  </si>
  <si>
    <t>35,0 HEPR</t>
  </si>
  <si>
    <t>10,0 HEPR</t>
  </si>
  <si>
    <t>1,5 Sintenax</t>
  </si>
  <si>
    <t>eletroduto</t>
  </si>
  <si>
    <t>3/4"</t>
  </si>
  <si>
    <t>1"</t>
  </si>
  <si>
    <t>1.1/4"</t>
  </si>
  <si>
    <t>2''</t>
  </si>
  <si>
    <t>INTERRUPTOR SIMPLES (1 MÓDULO) COM INTERRUPTOR PARALELO (2 MÓDULOS), 10A/250V, INCLUINDO SUPORTE E PLACA - FORNECIMENTO E INSTALAÇÃO. AF_12/2015</t>
  </si>
  <si>
    <t>INTERRUPTOR SIMPLES (2 MÓDULOS) COM 1 TOMADA DE EMBUTIR 2P+T 10 A, SEM SUPORTE E SEM PLACA - FORNECIMENTO E INSTALAÇÃO. AF_12/2015</t>
  </si>
  <si>
    <t xml:space="preserve"> TOMADA ALTA DE EMBUTIR (1 MÓDULO), 2P+T 10 A, INCLUINDO SUPORTE E PLACA - FORNECIMENTO E INSTALAÇÃO. AF_12/2015</t>
  </si>
  <si>
    <r>
      <t>J.F. ENGENHARIA LTDA</t>
    </r>
    <r>
      <rPr>
        <sz val="11"/>
        <color theme="0" tint="-0.499984740745262"/>
        <rFont val="Arial"/>
        <family val="2"/>
      </rPr>
      <t xml:space="preserve">
Rua Prefeito José Kehrig, 5333 - Sala 105
Santo Amaro da Imperatriz - SC
Fone: (48) 32453568
e-mail: jf.engenharia@terra.com.br</t>
    </r>
  </si>
  <si>
    <t>74131/7</t>
  </si>
  <si>
    <t>DISJUNTOR TRIPOLAR TIPO DIN, CORRENTE NOMINAL DE 90A</t>
  </si>
  <si>
    <t>Pedra Branca</t>
  </si>
  <si>
    <t>Jota Jota</t>
  </si>
  <si>
    <t>Stecanela</t>
  </si>
  <si>
    <t>DR TETRAPOLAR 40A 30mA</t>
  </si>
  <si>
    <t>DR TETRAPOLAR 25A 30mA</t>
  </si>
  <si>
    <t>DPS 275V 40KA CLASSE III</t>
  </si>
  <si>
    <t>pedrojunior@jotajota.net.br</t>
  </si>
  <si>
    <t>barreiros@stecanela.com.br</t>
  </si>
  <si>
    <t>Pedro Koerich Junior</t>
  </si>
  <si>
    <t>Janaina</t>
  </si>
  <si>
    <t>(48)3258-5008</t>
  </si>
  <si>
    <t>(48)3246-5049</t>
  </si>
  <si>
    <t>(48) 3286-0374</t>
  </si>
  <si>
    <t>vendas4@pedrabrancamateriais.com.br</t>
  </si>
  <si>
    <t>Ivan Coelho</t>
  </si>
  <si>
    <t>14.1</t>
  </si>
  <si>
    <t>14.2</t>
  </si>
  <si>
    <t>vendas@cassol.com.br</t>
  </si>
  <si>
    <t>(48) 3241-6600</t>
  </si>
  <si>
    <t>TANQUE SÉPTICO RETANGULAR, EM ALVENARIA COM TIJOLOS CERÂMICOS MACIÇOS, DIMENSÕES INTERNAS: 1,2 X 2,4 X 1,6 M, VOLUME ÚTIL: 3456 L (PARA 13 CONTRIBUINTES). AF_05/2018</t>
  </si>
  <si>
    <t>UN</t>
  </si>
  <si>
    <t>FILTRO ANAERÓBIO RETANGULAR, EM ALVENARIA COM TIJOLOS CERÂMICOS MACIÇOS, DIMENSÕES INTERNAS: 1,2 X 1,8 X 1,67 M, VOLUME ÚTIL: 2592 L (PARA 13 CONTRIBUINTES). AF_05/2018</t>
  </si>
  <si>
    <t>SUMIDOURO RETANGULAR, EM ALVENARIA COM TIJOLOS CERÂMICOS MACIÇOS, DIMENSÕES INTERNAS: 1,6 X 3,4 X 3,0 M, ÁREA DE INFILTRAÇÃO: 32,9 M² (PARA 13 CONTRIBUINTES). AF_05/2018</t>
  </si>
  <si>
    <t>7.4</t>
  </si>
  <si>
    <t>CAIXA DE GORDURA DUPLA (CAPACIDADE: 126 L), RETANGULAR, EM ALVENARIA COM TIJOLOS CERÂMICOS MACIÇOS, DIMENSÕES INTERNAS = 0,4X0,7 M, ALTURA INTERNA = 0,8 M. AF_05/2018</t>
  </si>
  <si>
    <t>7.5</t>
  </si>
  <si>
    <t>7.6</t>
  </si>
  <si>
    <t xml:space="preserve">74166/001 </t>
  </si>
  <si>
    <t>7.7</t>
  </si>
  <si>
    <t>7.8</t>
  </si>
  <si>
    <t>7.9</t>
  </si>
  <si>
    <t>7.10</t>
  </si>
  <si>
    <t>7.11</t>
  </si>
  <si>
    <t>REGISTRO DE ESFERA, PVC, SOLDÁVEL, DN 50 MM, INSTALADO EM RESERVAÇÃO DE ÁGUA DE EDIFICAÇÃO QUE POSSUA RESERVATÓRIO DE FIBRA/FIBROCIMENTO FORNECIMENTO E INSTALAÇÃO. AF_06/2016</t>
  </si>
  <si>
    <t>7.12</t>
  </si>
  <si>
    <t>7.13</t>
  </si>
  <si>
    <t>7.14</t>
  </si>
  <si>
    <t>7.15</t>
  </si>
  <si>
    <t>JOELHO 90 GRAUS, PVC, SOLDÁVEL, DN 50 MM INSTALADO EM RESERVAÇÃO DE ÁGUA DE EDIFICAÇÃO QUE POSSUA RESERVATÓRIO DE FIBRA/FIBROCIMENTO FORNECIMENTO E INSTALAÇÃO. AF_06/2016</t>
  </si>
  <si>
    <t>7.16</t>
  </si>
  <si>
    <t>TÊ DE REDUÇÃO, PVC, SOLDÁVEL, DN 50MM X 25MM, INSTALADO EM PRUMADA DE ÁGUA - FORNECIMENTO E INSTALAÇÃO. AF_12/2014</t>
  </si>
  <si>
    <t>7.17</t>
  </si>
  <si>
    <t>TE, PVC, SOLDÁVEL, DN 50MM, INSTALADO EM PRUMADA DE ÁGUA - FORNECIMENTO E INSTALAÇÃO. AF_12/2014</t>
  </si>
  <si>
    <t>7.18</t>
  </si>
  <si>
    <t>TE, PVC, SOLDÁVEL, DN 40MM, INSTALADO EM PRUMADA DE ÁGUA - FORNECIMENTO E INSTALAÇÃO. AF_12/2014</t>
  </si>
  <si>
    <t>7.19</t>
  </si>
  <si>
    <t>7.20</t>
  </si>
  <si>
    <t>7.21</t>
  </si>
  <si>
    <t>M</t>
  </si>
  <si>
    <t>7.22</t>
  </si>
  <si>
    <t>7.23</t>
  </si>
  <si>
    <t>7.24</t>
  </si>
  <si>
    <t>JUNÇÃO SIMPLES, PVC, SERIE NORMAL, ESGOTO PREDIAL, DN 50 X 50 MM, JUNTA ELÁSTICA, FORNECIDO E INSTALADO EM PRUMADA DE ESGOTO SANITÁRIO OU VENTILAÇÃO. AF_12/2014</t>
  </si>
  <si>
    <t>7.25</t>
  </si>
  <si>
    <t>7.26</t>
  </si>
  <si>
    <t>7.27</t>
  </si>
  <si>
    <t>7.28</t>
  </si>
  <si>
    <t>7.29</t>
  </si>
  <si>
    <t>7.30</t>
  </si>
  <si>
    <t>7.31</t>
  </si>
  <si>
    <t>JOELHO 45 GRAUS, PVC, SERIE R, ÁGUA PLUVIAL, DN 100 MM, JUNTA ELÁSTICA, FORNECIDO E INSTALADO EM RAMAL DE ENCAMINHAMENTO. AF_12/2014</t>
  </si>
  <si>
    <t>7.32</t>
  </si>
  <si>
    <t>7.33</t>
  </si>
  <si>
    <t>TE, PVC, SERIE NORMAL, ESGOTO PREDIAL, DN 50 X 50 MM, JUNTA ELÁSTICA, FORNECIDO E INSTALADO EM RAMAL DE DESCARGA OU RAMAL DE ESGOTO SANITÁRIO. AF_12/2014</t>
  </si>
  <si>
    <t>7.34</t>
  </si>
  <si>
    <t>TUBO PVC, SERIE NORMAL, ESGOTO PREDIAL, DN 100 MM, FORNECIDO E INSTALADO EM PRUMADA DE ESGOTO SANITÁRIO OU VENTILAÇÃO. AF_12/2014</t>
  </si>
  <si>
    <t>7.35</t>
  </si>
  <si>
    <t>7.36</t>
  </si>
  <si>
    <t>7.37</t>
  </si>
  <si>
    <t>7.38</t>
  </si>
  <si>
    <t xml:space="preserve">74066/002 </t>
  </si>
  <si>
    <t>M²</t>
  </si>
  <si>
    <t>7.39</t>
  </si>
  <si>
    <t xml:space="preserve">73968/001 </t>
  </si>
  <si>
    <t>Solar</t>
  </si>
  <si>
    <t>Tiago</t>
  </si>
  <si>
    <t>solar.tiago@gmail.com</t>
  </si>
  <si>
    <t>Teckom</t>
  </si>
  <si>
    <t>Leonardo</t>
  </si>
  <si>
    <t>(48) 3259-8226</t>
  </si>
  <si>
    <t>(48) 98467-9767</t>
  </si>
  <si>
    <t>teckom@teckom.com.br</t>
  </si>
  <si>
    <t>Adão</t>
  </si>
  <si>
    <t>faarcondicionado@hotmail.com</t>
  </si>
  <si>
    <t>(48) 3093-1484</t>
  </si>
  <si>
    <t>Instalação de Ar Condicionado 9000 BTU/H</t>
  </si>
  <si>
    <t>Instalação de Ar Condicionado 1200 BTU/H</t>
  </si>
  <si>
    <t>Instalação de Ar Condicionado 1800 BTU/H</t>
  </si>
  <si>
    <t>FA ARCONDICIONADO</t>
  </si>
  <si>
    <t>INSTALAÇÃO DE AR-CONDICIONADO FRIO SPLIT HI-WALL (PAREDE) 9000 BTU/H</t>
  </si>
  <si>
    <t>INSTALAÇÃO DE AR-CONDICIONADO FRIO SPLIT HI-WALL (PAREDE) 1200 BTU/H</t>
  </si>
  <si>
    <t>INSTALAÇÃO DE AR-CONDICIONADO FRIO SPLIT HI-WALL (PAREDE) 18000 BTU/H</t>
  </si>
  <si>
    <t>5.1</t>
  </si>
  <si>
    <t>6.2</t>
  </si>
  <si>
    <t>6.3</t>
  </si>
  <si>
    <t>8.1</t>
  </si>
  <si>
    <t>8.2</t>
  </si>
  <si>
    <t>8.3</t>
  </si>
  <si>
    <t>8.4</t>
  </si>
  <si>
    <t>8.5</t>
  </si>
  <si>
    <t>8.6</t>
  </si>
  <si>
    <t>8.7</t>
  </si>
  <si>
    <t>8.8</t>
  </si>
  <si>
    <t>8.9</t>
  </si>
  <si>
    <t>8.10</t>
  </si>
  <si>
    <t>8.11</t>
  </si>
  <si>
    <t>8.12</t>
  </si>
  <si>
    <t>8.13</t>
  </si>
  <si>
    <t>8.14</t>
  </si>
  <si>
    <t>8.15</t>
  </si>
  <si>
    <t>8.16</t>
  </si>
  <si>
    <t>8.17</t>
  </si>
  <si>
    <t>8.18</t>
  </si>
  <si>
    <t>8.19</t>
  </si>
  <si>
    <t>8.20</t>
  </si>
  <si>
    <t>8.21</t>
  </si>
  <si>
    <t>8.22</t>
  </si>
  <si>
    <t>8.23</t>
  </si>
  <si>
    <t>8.24</t>
  </si>
  <si>
    <t>8.25</t>
  </si>
  <si>
    <t>8.26</t>
  </si>
  <si>
    <t>8.27</t>
  </si>
  <si>
    <t>8.28</t>
  </si>
  <si>
    <t>8.29</t>
  </si>
  <si>
    <t>8.30</t>
  </si>
  <si>
    <t>8.31</t>
  </si>
  <si>
    <t>8.32</t>
  </si>
  <si>
    <t>LOCACAO CONVENCIONAL DE OBRA, UTILIZANDO GABARITO DE TÁBUAS CORRIDAS PONTALETADAS A CADA 2,00M - 2 UTILIZAÇÕES. AF_10/2018</t>
  </si>
  <si>
    <t>10.1</t>
  </si>
  <si>
    <t>10.3</t>
  </si>
  <si>
    <t>11.4</t>
  </si>
  <si>
    <t>12.5</t>
  </si>
  <si>
    <t>12.6</t>
  </si>
  <si>
    <t>12.7</t>
  </si>
  <si>
    <t>12.8</t>
  </si>
  <si>
    <t>15.3</t>
  </si>
  <si>
    <t>15.4</t>
  </si>
  <si>
    <t>15.5</t>
  </si>
  <si>
    <t>15.6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</si>
</sst>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164" formatCode="&quot;R$&quot;\ #,##0.00"/>
    <numFmt numFmtId="165" formatCode="&quot;R$&quot;#,##0.00_);[Red]\(&quot;R$&quot;#,##0.00\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0"/>
      <name val="MS Sans Serif"/>
      <family val="2"/>
    </font>
    <font>
      <sz val="11"/>
      <color rgb="FFFF000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rgb="FF00B050"/>
      <name val="Arial"/>
      <family val="2"/>
    </font>
    <font>
      <sz val="11"/>
      <color rgb="FF006100"/>
      <name val="Calibri"/>
      <family val="2"/>
      <scheme val="minor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0"/>
      <color theme="1" tint="0.34998626667073579"/>
      <name val="Arial"/>
      <family val="2"/>
    </font>
    <font>
      <sz val="10"/>
      <color theme="1" tint="0.34998626667073579"/>
      <name val="Arial"/>
      <family val="2"/>
    </font>
    <font>
      <b/>
      <sz val="12"/>
      <color theme="1"/>
      <name val="Arial"/>
      <family val="2"/>
    </font>
    <font>
      <b/>
      <sz val="18"/>
      <color theme="1"/>
      <name val="Arial"/>
      <family val="2"/>
    </font>
    <font>
      <i/>
      <sz val="11"/>
      <color theme="1"/>
      <name val="Arial"/>
      <family val="2"/>
    </font>
    <font>
      <u/>
      <sz val="11"/>
      <color theme="1"/>
      <name val="Arial"/>
      <family val="2"/>
    </font>
    <font>
      <b/>
      <sz val="11"/>
      <color theme="0" tint="-0.499984740745262"/>
      <name val="Arial"/>
      <family val="2"/>
    </font>
    <font>
      <sz val="11"/>
      <color theme="0" tint="-0.499984740745262"/>
      <name val="Arial"/>
      <family val="2"/>
    </font>
    <font>
      <sz val="11"/>
      <color theme="3" tint="0.3999755851924192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Down">
        <bgColor theme="0" tint="-0.249977111117893"/>
      </patternFill>
    </fill>
    <fill>
      <patternFill patternType="gray0625"/>
    </fill>
    <fill>
      <patternFill patternType="solid">
        <fgColor rgb="FFC6EFCE"/>
      </patternFill>
    </fill>
  </fills>
  <borders count="10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/>
      <right/>
      <top/>
      <bottom style="medium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1"/>
      </top>
      <bottom/>
      <diagonal/>
    </border>
    <border>
      <left style="thin">
        <color theme="0" tint="-0.499984740745262"/>
      </left>
      <right style="medium">
        <color indexed="64"/>
      </right>
      <top style="medium">
        <color theme="1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theme="1"/>
      </bottom>
      <diagonal/>
    </border>
    <border>
      <left/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/>
      <top style="medium">
        <color theme="1"/>
      </top>
      <bottom style="medium">
        <color theme="1"/>
      </bottom>
      <diagonal/>
    </border>
    <border>
      <left/>
      <right style="medium">
        <color indexed="64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 style="thin">
        <color theme="0" tint="-0.499984740745262"/>
      </right>
      <top style="medium">
        <color theme="1"/>
      </top>
      <bottom/>
      <diagonal/>
    </border>
    <border>
      <left style="thin">
        <color theme="0" tint="-0.499984740745262"/>
      </left>
      <right style="medium">
        <color indexed="64"/>
      </right>
      <top style="medium">
        <color theme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theme="1"/>
      </left>
      <right style="thin">
        <color theme="0" tint="-0.499984740745262"/>
      </right>
      <top/>
      <bottom style="medium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1"/>
      </bottom>
      <diagonal/>
    </border>
    <border>
      <left style="thin">
        <color theme="0" tint="-0.499984740745262"/>
      </left>
      <right style="medium">
        <color theme="1"/>
      </right>
      <top/>
      <bottom style="medium">
        <color theme="1"/>
      </bottom>
      <diagonal/>
    </border>
    <border>
      <left style="medium">
        <color indexed="64"/>
      </left>
      <right/>
      <top style="medium">
        <color theme="1"/>
      </top>
      <bottom/>
      <diagonal/>
    </border>
    <border>
      <left/>
      <right style="medium">
        <color indexed="64"/>
      </right>
      <top style="medium">
        <color theme="1"/>
      </top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5" fillId="0" borderId="0"/>
    <xf numFmtId="0" fontId="10" fillId="9" borderId="0" applyNumberFormat="0" applyBorder="0" applyAlignment="0" applyProtection="0"/>
  </cellStyleXfs>
  <cellXfs count="397">
    <xf numFmtId="0" fontId="0" fillId="0" borderId="0" xfId="0"/>
    <xf numFmtId="0" fontId="6" fillId="0" borderId="0" xfId="0" applyFont="1" applyAlignment="1">
      <alignment vertical="center"/>
    </xf>
    <xf numFmtId="0" fontId="6" fillId="0" borderId="0" xfId="0" applyFont="1" applyBorder="1"/>
    <xf numFmtId="0" fontId="6" fillId="0" borderId="0" xfId="0" applyFont="1"/>
    <xf numFmtId="10" fontId="6" fillId="0" borderId="0" xfId="0" applyNumberFormat="1" applyFont="1"/>
    <xf numFmtId="0" fontId="6" fillId="0" borderId="0" xfId="0" applyFont="1" applyFill="1" applyAlignment="1">
      <alignment vertical="center"/>
    </xf>
    <xf numFmtId="2" fontId="6" fillId="0" borderId="0" xfId="0" applyNumberFormat="1" applyFont="1"/>
    <xf numFmtId="0" fontId="6" fillId="0" borderId="0" xfId="0" applyFont="1" applyAlignment="1"/>
    <xf numFmtId="0" fontId="4" fillId="3" borderId="0" xfId="0" applyFont="1" applyFill="1" applyBorder="1"/>
    <xf numFmtId="14" fontId="4" fillId="3" borderId="0" xfId="0" applyNumberFormat="1" applyFont="1" applyFill="1" applyBorder="1" applyAlignment="1">
      <alignment horizontal="left"/>
    </xf>
    <xf numFmtId="0" fontId="9" fillId="0" borderId="0" xfId="0" applyFont="1" applyAlignment="1">
      <alignment vertical="center"/>
    </xf>
    <xf numFmtId="0" fontId="4" fillId="3" borderId="0" xfId="0" applyFont="1" applyFill="1" applyBorder="1" applyAlignment="1"/>
    <xf numFmtId="10" fontId="4" fillId="3" borderId="0" xfId="0" applyNumberFormat="1" applyFont="1" applyFill="1" applyBorder="1"/>
    <xf numFmtId="0" fontId="4" fillId="0" borderId="0" xfId="0" applyFont="1"/>
    <xf numFmtId="0" fontId="9" fillId="0" borderId="0" xfId="0" applyFont="1" applyFill="1" applyAlignment="1">
      <alignment vertical="center"/>
    </xf>
    <xf numFmtId="0" fontId="6" fillId="0" borderId="0" xfId="2" applyFont="1" applyProtection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2" fontId="4" fillId="3" borderId="0" xfId="0" applyNumberFormat="1" applyFont="1" applyFill="1" applyBorder="1"/>
    <xf numFmtId="0" fontId="11" fillId="0" borderId="43" xfId="0" applyFont="1" applyFill="1" applyBorder="1" applyAlignment="1">
      <alignment horizontal="center"/>
    </xf>
    <xf numFmtId="0" fontId="11" fillId="0" borderId="43" xfId="0" applyFont="1" applyFill="1" applyBorder="1" applyAlignment="1"/>
    <xf numFmtId="2" fontId="11" fillId="0" borderId="43" xfId="0" applyNumberFormat="1" applyFont="1" applyFill="1" applyBorder="1" applyAlignment="1">
      <alignment horizontal="center"/>
    </xf>
    <xf numFmtId="10" fontId="11" fillId="0" borderId="43" xfId="0" applyNumberFormat="1" applyFont="1" applyFill="1" applyBorder="1" applyAlignment="1">
      <alignment horizontal="center"/>
    </xf>
    <xf numFmtId="164" fontId="6" fillId="0" borderId="0" xfId="0" applyNumberFormat="1" applyFont="1"/>
    <xf numFmtId="0" fontId="12" fillId="0" borderId="0" xfId="0" applyFont="1"/>
    <xf numFmtId="0" fontId="12" fillId="0" borderId="0" xfId="0" applyFont="1" applyFill="1" applyBorder="1"/>
    <xf numFmtId="0" fontId="13" fillId="0" borderId="0" xfId="0" applyFont="1" applyFill="1" applyBorder="1" applyAlignment="1">
      <alignment vertical="center"/>
    </xf>
    <xf numFmtId="14" fontId="12" fillId="0" borderId="0" xfId="0" applyNumberFormat="1" applyFont="1"/>
    <xf numFmtId="164" fontId="12" fillId="0" borderId="0" xfId="0" applyNumberFormat="1" applyFont="1"/>
    <xf numFmtId="0" fontId="4" fillId="3" borderId="64" xfId="0" applyFont="1" applyFill="1" applyBorder="1"/>
    <xf numFmtId="0" fontId="4" fillId="3" borderId="55" xfId="0" applyFont="1" applyFill="1" applyBorder="1" applyAlignment="1">
      <alignment vertical="center"/>
    </xf>
    <xf numFmtId="0" fontId="11" fillId="0" borderId="74" xfId="0" applyFont="1" applyFill="1" applyBorder="1" applyAlignment="1">
      <alignment horizontal="center"/>
    </xf>
    <xf numFmtId="2" fontId="11" fillId="0" borderId="75" xfId="0" applyNumberFormat="1" applyFont="1" applyFill="1" applyBorder="1" applyAlignment="1">
      <alignment horizontal="center"/>
    </xf>
    <xf numFmtId="44" fontId="11" fillId="4" borderId="49" xfId="1" applyFont="1" applyFill="1" applyBorder="1" applyAlignment="1">
      <alignment horizontal="center" vertical="center"/>
    </xf>
    <xf numFmtId="17" fontId="12" fillId="3" borderId="0" xfId="0" applyNumberFormat="1" applyFont="1" applyFill="1" applyBorder="1" applyAlignment="1">
      <alignment horizontal="left"/>
    </xf>
    <xf numFmtId="0" fontId="13" fillId="6" borderId="32" xfId="0" applyFont="1" applyFill="1" applyBorder="1" applyAlignment="1">
      <alignment horizontal="center" vertical="center"/>
    </xf>
    <xf numFmtId="0" fontId="13" fillId="6" borderId="33" xfId="0" applyFont="1" applyFill="1" applyBorder="1" applyAlignment="1">
      <alignment horizontal="center" vertical="center"/>
    </xf>
    <xf numFmtId="0" fontId="13" fillId="6" borderId="33" xfId="0" applyFont="1" applyFill="1" applyBorder="1" applyAlignment="1">
      <alignment vertical="center"/>
    </xf>
    <xf numFmtId="2" fontId="13" fillId="6" borderId="33" xfId="0" applyNumberFormat="1" applyFont="1" applyFill="1" applyBorder="1" applyAlignment="1">
      <alignment horizontal="center" vertical="center"/>
    </xf>
    <xf numFmtId="10" fontId="13" fillId="6" borderId="33" xfId="0" applyNumberFormat="1" applyFont="1" applyFill="1" applyBorder="1" applyAlignment="1">
      <alignment horizontal="center" vertical="center"/>
    </xf>
    <xf numFmtId="44" fontId="13" fillId="6" borderId="34" xfId="1" applyFont="1" applyFill="1" applyBorder="1" applyAlignment="1">
      <alignment horizontal="center" vertical="center"/>
    </xf>
    <xf numFmtId="0" fontId="12" fillId="0" borderId="41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vertical="center"/>
    </xf>
    <xf numFmtId="0" fontId="12" fillId="0" borderId="5" xfId="0" applyFont="1" applyFill="1" applyBorder="1" applyAlignment="1">
      <alignment horizontal="center" vertical="center"/>
    </xf>
    <xf numFmtId="2" fontId="12" fillId="0" borderId="6" xfId="0" applyNumberFormat="1" applyFont="1" applyFill="1" applyBorder="1" applyAlignment="1">
      <alignment horizontal="center" vertical="center"/>
    </xf>
    <xf numFmtId="10" fontId="12" fillId="0" borderId="6" xfId="0" applyNumberFormat="1" applyFont="1" applyFill="1" applyBorder="1" applyAlignment="1">
      <alignment horizontal="center" vertical="center"/>
    </xf>
    <xf numFmtId="2" fontId="12" fillId="0" borderId="42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vertical="center" wrapText="1"/>
    </xf>
    <xf numFmtId="0" fontId="12" fillId="0" borderId="53" xfId="0" applyFont="1" applyFill="1" applyBorder="1" applyAlignment="1">
      <alignment horizontal="center" vertical="center"/>
    </xf>
    <xf numFmtId="0" fontId="12" fillId="0" borderId="51" xfId="0" applyFont="1" applyFill="1" applyBorder="1" applyAlignment="1">
      <alignment horizontal="center" vertical="center"/>
    </xf>
    <xf numFmtId="0" fontId="12" fillId="0" borderId="38" xfId="0" applyFont="1" applyFill="1" applyBorder="1" applyAlignment="1">
      <alignment vertical="center" wrapText="1"/>
    </xf>
    <xf numFmtId="0" fontId="12" fillId="0" borderId="38" xfId="0" applyFont="1" applyFill="1" applyBorder="1" applyAlignment="1">
      <alignment horizontal="center" vertical="center"/>
    </xf>
    <xf numFmtId="2" fontId="12" fillId="0" borderId="51" xfId="0" applyNumberFormat="1" applyFont="1" applyFill="1" applyBorder="1" applyAlignment="1">
      <alignment horizontal="center" vertical="center"/>
    </xf>
    <xf numFmtId="10" fontId="12" fillId="0" borderId="51" xfId="0" applyNumberFormat="1" applyFont="1" applyFill="1" applyBorder="1" applyAlignment="1">
      <alignment horizontal="center" vertical="center"/>
    </xf>
    <xf numFmtId="2" fontId="12" fillId="0" borderId="52" xfId="0" applyNumberFormat="1" applyFont="1" applyFill="1" applyBorder="1" applyAlignment="1">
      <alignment horizontal="center" vertical="center"/>
    </xf>
    <xf numFmtId="0" fontId="13" fillId="6" borderId="41" xfId="0" applyFont="1" applyFill="1" applyBorder="1" applyAlignment="1">
      <alignment horizontal="center" vertical="center"/>
    </xf>
    <xf numFmtId="0" fontId="13" fillId="6" borderId="6" xfId="0" applyFont="1" applyFill="1" applyBorder="1" applyAlignment="1">
      <alignment horizontal="center" vertical="center"/>
    </xf>
    <xf numFmtId="0" fontId="13" fillId="6" borderId="6" xfId="0" applyFont="1" applyFill="1" applyBorder="1" applyAlignment="1">
      <alignment vertical="center"/>
    </xf>
    <xf numFmtId="2" fontId="13" fillId="6" borderId="6" xfId="0" applyNumberFormat="1" applyFont="1" applyFill="1" applyBorder="1" applyAlignment="1">
      <alignment horizontal="center" vertical="center"/>
    </xf>
    <xf numFmtId="10" fontId="13" fillId="6" borderId="6" xfId="0" applyNumberFormat="1" applyFont="1" applyFill="1" applyBorder="1" applyAlignment="1">
      <alignment horizontal="center" vertical="center"/>
    </xf>
    <xf numFmtId="44" fontId="13" fillId="6" borderId="42" xfId="1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vertical="center" wrapText="1"/>
    </xf>
    <xf numFmtId="2" fontId="12" fillId="0" borderId="7" xfId="0" applyNumberFormat="1" applyFont="1" applyFill="1" applyBorder="1" applyAlignment="1">
      <alignment horizontal="center" vertical="center"/>
    </xf>
    <xf numFmtId="0" fontId="12" fillId="0" borderId="37" xfId="0" applyFont="1" applyFill="1" applyBorder="1" applyAlignment="1">
      <alignment horizontal="center" vertical="center"/>
    </xf>
    <xf numFmtId="2" fontId="12" fillId="0" borderId="38" xfId="0" applyNumberFormat="1" applyFont="1" applyFill="1" applyBorder="1" applyAlignment="1">
      <alignment horizontal="center" vertical="center"/>
    </xf>
    <xf numFmtId="10" fontId="12" fillId="0" borderId="38" xfId="0" applyNumberFormat="1" applyFont="1" applyFill="1" applyBorder="1" applyAlignment="1">
      <alignment horizontal="center" vertical="center"/>
    </xf>
    <xf numFmtId="0" fontId="12" fillId="0" borderId="35" xfId="0" applyFont="1" applyFill="1" applyBorder="1" applyAlignment="1">
      <alignment horizontal="center" vertical="center"/>
    </xf>
    <xf numFmtId="2" fontId="12" fillId="0" borderId="5" xfId="0" applyNumberFormat="1" applyFont="1" applyFill="1" applyBorder="1" applyAlignment="1">
      <alignment horizontal="center" vertical="center"/>
    </xf>
    <xf numFmtId="10" fontId="12" fillId="0" borderId="5" xfId="0" applyNumberFormat="1" applyFont="1" applyFill="1" applyBorder="1" applyAlignment="1">
      <alignment horizontal="center" vertical="center"/>
    </xf>
    <xf numFmtId="0" fontId="12" fillId="3" borderId="37" xfId="0" applyFont="1" applyFill="1" applyBorder="1" applyAlignment="1">
      <alignment horizontal="center" vertical="center"/>
    </xf>
    <xf numFmtId="0" fontId="12" fillId="3" borderId="51" xfId="6" applyFont="1" applyFill="1" applyBorder="1" applyAlignment="1">
      <alignment horizontal="center" vertical="center"/>
    </xf>
    <xf numFmtId="0" fontId="12" fillId="3" borderId="38" xfId="6" applyFont="1" applyFill="1" applyBorder="1" applyAlignment="1">
      <alignment vertical="center" wrapText="1"/>
    </xf>
    <xf numFmtId="2" fontId="12" fillId="3" borderId="51" xfId="6" applyNumberFormat="1" applyFont="1" applyFill="1" applyBorder="1" applyAlignment="1">
      <alignment horizontal="center" vertical="center"/>
    </xf>
    <xf numFmtId="10" fontId="12" fillId="3" borderId="38" xfId="6" applyNumberFormat="1" applyFont="1" applyFill="1" applyBorder="1" applyAlignment="1">
      <alignment horizontal="center" vertical="center"/>
    </xf>
    <xf numFmtId="2" fontId="12" fillId="3" borderId="52" xfId="6" applyNumberFormat="1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 wrapText="1"/>
    </xf>
    <xf numFmtId="2" fontId="4" fillId="0" borderId="5" xfId="0" applyNumberFormat="1" applyFont="1" applyFill="1" applyBorder="1" applyAlignment="1">
      <alignment horizontal="center" vertical="center"/>
    </xf>
    <xf numFmtId="10" fontId="4" fillId="0" borderId="5" xfId="0" applyNumberFormat="1" applyFont="1" applyFill="1" applyBorder="1" applyAlignment="1">
      <alignment horizontal="center" vertical="center"/>
    </xf>
    <xf numFmtId="2" fontId="4" fillId="0" borderId="6" xfId="0" applyNumberFormat="1" applyFont="1" applyFill="1" applyBorder="1" applyAlignment="1">
      <alignment horizontal="center" vertical="center"/>
    </xf>
    <xf numFmtId="2" fontId="4" fillId="0" borderId="42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vertical="center" wrapText="1"/>
    </xf>
    <xf numFmtId="2" fontId="12" fillId="0" borderId="0" xfId="0" applyNumberFormat="1" applyFont="1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44" fontId="13" fillId="6" borderId="44" xfId="1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vertical="center" wrapText="1"/>
    </xf>
    <xf numFmtId="0" fontId="13" fillId="6" borderId="47" xfId="0" applyFont="1" applyFill="1" applyBorder="1" applyAlignment="1">
      <alignment horizontal="center" vertical="center"/>
    </xf>
    <xf numFmtId="0" fontId="12" fillId="0" borderId="51" xfId="0" applyFont="1" applyFill="1" applyBorder="1" applyAlignment="1">
      <alignment vertical="center" wrapText="1"/>
    </xf>
    <xf numFmtId="0" fontId="13" fillId="6" borderId="48" xfId="0" applyFont="1" applyFill="1" applyBorder="1" applyAlignment="1">
      <alignment horizontal="center" vertical="center"/>
    </xf>
    <xf numFmtId="0" fontId="13" fillId="6" borderId="48" xfId="0" applyFont="1" applyFill="1" applyBorder="1" applyAlignment="1">
      <alignment vertical="center"/>
    </xf>
    <xf numFmtId="2" fontId="13" fillId="6" borderId="48" xfId="0" applyNumberFormat="1" applyFont="1" applyFill="1" applyBorder="1" applyAlignment="1">
      <alignment horizontal="center" vertical="center"/>
    </xf>
    <xf numFmtId="10" fontId="13" fillId="6" borderId="48" xfId="0" applyNumberFormat="1" applyFont="1" applyFill="1" applyBorder="1" applyAlignment="1">
      <alignment horizontal="center" vertical="center"/>
    </xf>
    <xf numFmtId="44" fontId="13" fillId="6" borderId="49" xfId="1" applyFont="1" applyFill="1" applyBorder="1" applyAlignment="1">
      <alignment horizontal="center" vertical="center"/>
    </xf>
    <xf numFmtId="0" fontId="12" fillId="0" borderId="65" xfId="0" applyFont="1" applyFill="1" applyBorder="1" applyAlignment="1">
      <alignment horizontal="center" vertical="center"/>
    </xf>
    <xf numFmtId="0" fontId="12" fillId="0" borderId="83" xfId="0" applyFont="1" applyFill="1" applyBorder="1" applyAlignment="1">
      <alignment vertical="center" wrapText="1"/>
    </xf>
    <xf numFmtId="0" fontId="12" fillId="0" borderId="84" xfId="0" applyFont="1" applyFill="1" applyBorder="1" applyAlignment="1">
      <alignment vertical="center" wrapText="1"/>
    </xf>
    <xf numFmtId="0" fontId="12" fillId="0" borderId="81" xfId="0" applyFont="1" applyFill="1" applyBorder="1" applyAlignment="1">
      <alignment vertical="center" wrapText="1"/>
    </xf>
    <xf numFmtId="2" fontId="12" fillId="0" borderId="81" xfId="0" applyNumberFormat="1" applyFont="1" applyFill="1" applyBorder="1" applyAlignment="1">
      <alignment horizontal="center" vertical="center"/>
    </xf>
    <xf numFmtId="10" fontId="12" fillId="0" borderId="81" xfId="0" applyNumberFormat="1" applyFont="1" applyFill="1" applyBorder="1" applyAlignment="1">
      <alignment horizontal="center" vertical="center"/>
    </xf>
    <xf numFmtId="0" fontId="12" fillId="0" borderId="82" xfId="0" applyFont="1" applyFill="1" applyBorder="1" applyAlignment="1">
      <alignment horizontal="center" vertical="center"/>
    </xf>
    <xf numFmtId="0" fontId="12" fillId="0" borderId="81" xfId="0" applyFont="1" applyFill="1" applyBorder="1" applyAlignment="1">
      <alignment horizontal="left" vertical="center"/>
    </xf>
    <xf numFmtId="0" fontId="12" fillId="0" borderId="85" xfId="0" applyFont="1" applyFill="1" applyBorder="1" applyAlignment="1">
      <alignment horizontal="center" vertical="center"/>
    </xf>
    <xf numFmtId="0" fontId="12" fillId="0" borderId="86" xfId="0" applyFont="1" applyFill="1" applyBorder="1" applyAlignment="1">
      <alignment horizontal="center" vertical="center"/>
    </xf>
    <xf numFmtId="0" fontId="12" fillId="0" borderId="87" xfId="0" applyFont="1" applyFill="1" applyBorder="1" applyAlignment="1">
      <alignment horizontal="left" vertical="center"/>
    </xf>
    <xf numFmtId="0" fontId="12" fillId="0" borderId="0" xfId="0" applyFont="1" applyBorder="1"/>
    <xf numFmtId="0" fontId="12" fillId="0" borderId="0" xfId="0" applyNumberFormat="1" applyFont="1" applyBorder="1"/>
    <xf numFmtId="0" fontId="12" fillId="0" borderId="0" xfId="0" applyNumberFormat="1" applyFont="1"/>
    <xf numFmtId="0" fontId="12" fillId="0" borderId="0" xfId="0" applyFont="1" applyFill="1"/>
    <xf numFmtId="0" fontId="12" fillId="0" borderId="0" xfId="0" applyFont="1" applyFill="1" applyBorder="1" applyAlignment="1">
      <alignment vertical="center"/>
    </xf>
    <xf numFmtId="0" fontId="12" fillId="0" borderId="0" xfId="0" applyNumberFormat="1" applyFont="1" applyBorder="1" applyAlignment="1">
      <alignment vertical="center"/>
    </xf>
    <xf numFmtId="0" fontId="12" fillId="0" borderId="0" xfId="0" applyNumberFormat="1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44" fontId="12" fillId="0" borderId="0" xfId="0" applyNumberFormat="1" applyFont="1" applyBorder="1" applyAlignment="1">
      <alignment vertical="center"/>
    </xf>
    <xf numFmtId="2" fontId="12" fillId="0" borderId="0" xfId="0" applyNumberFormat="1" applyFont="1" applyFill="1" applyBorder="1"/>
    <xf numFmtId="0" fontId="12" fillId="0" borderId="0" xfId="0" applyFont="1" applyFill="1" applyBorder="1" applyAlignment="1">
      <alignment horizontal="center"/>
    </xf>
    <xf numFmtId="14" fontId="13" fillId="0" borderId="40" xfId="0" applyNumberFormat="1" applyFont="1" applyBorder="1"/>
    <xf numFmtId="164" fontId="13" fillId="0" borderId="40" xfId="0" applyNumberFormat="1" applyFont="1" applyBorder="1" applyAlignment="1">
      <alignment horizontal="center"/>
    </xf>
    <xf numFmtId="0" fontId="13" fillId="0" borderId="40" xfId="0" applyFont="1" applyBorder="1"/>
    <xf numFmtId="0" fontId="12" fillId="0" borderId="81" xfId="0" applyFont="1" applyBorder="1"/>
    <xf numFmtId="14" fontId="12" fillId="0" borderId="81" xfId="0" applyNumberFormat="1" applyFont="1" applyBorder="1"/>
    <xf numFmtId="164" fontId="12" fillId="0" borderId="81" xfId="0" applyNumberFormat="1" applyFont="1" applyBorder="1"/>
    <xf numFmtId="0" fontId="13" fillId="0" borderId="45" xfId="0" applyFont="1" applyBorder="1"/>
    <xf numFmtId="0" fontId="13" fillId="0" borderId="46" xfId="0" applyFont="1" applyBorder="1"/>
    <xf numFmtId="0" fontId="12" fillId="0" borderId="85" xfId="0" applyFont="1" applyBorder="1"/>
    <xf numFmtId="0" fontId="12" fillId="0" borderId="91" xfId="0" applyFont="1" applyBorder="1"/>
    <xf numFmtId="0" fontId="12" fillId="0" borderId="86" xfId="0" applyFont="1" applyBorder="1"/>
    <xf numFmtId="14" fontId="12" fillId="0" borderId="87" xfId="0" applyNumberFormat="1" applyFont="1" applyBorder="1"/>
    <xf numFmtId="164" fontId="12" fillId="0" borderId="87" xfId="0" applyNumberFormat="1" applyFont="1" applyBorder="1"/>
    <xf numFmtId="0" fontId="12" fillId="0" borderId="87" xfId="0" applyFont="1" applyBorder="1"/>
    <xf numFmtId="0" fontId="12" fillId="0" borderId="92" xfId="0" applyFont="1" applyBorder="1"/>
    <xf numFmtId="2" fontId="12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horizontal="center"/>
    </xf>
    <xf numFmtId="2" fontId="13" fillId="0" borderId="39" xfId="4" applyNumberFormat="1" applyFont="1" applyBorder="1" applyAlignment="1">
      <alignment horizontal="centerContinuous"/>
    </xf>
    <xf numFmtId="2" fontId="13" fillId="0" borderId="80" xfId="4" applyNumberFormat="1" applyFont="1" applyBorder="1" applyAlignment="1">
      <alignment horizontal="centerContinuous"/>
    </xf>
    <xf numFmtId="2" fontId="13" fillId="0" borderId="37" xfId="4" applyNumberFormat="1" applyFont="1" applyBorder="1" applyAlignment="1">
      <alignment horizontal="centerContinuous"/>
    </xf>
    <xf numFmtId="2" fontId="13" fillId="0" borderId="79" xfId="4" applyNumberFormat="1" applyFont="1" applyBorder="1" applyAlignment="1">
      <alignment horizontal="centerContinuous"/>
    </xf>
    <xf numFmtId="0" fontId="13" fillId="6" borderId="33" xfId="5" applyFont="1" applyFill="1" applyBorder="1" applyAlignment="1" applyProtection="1">
      <alignment horizontal="center" vertical="center"/>
    </xf>
    <xf numFmtId="0" fontId="13" fillId="6" borderId="33" xfId="5" applyFont="1" applyFill="1" applyBorder="1" applyAlignment="1" applyProtection="1">
      <alignment horizontal="left" vertical="center"/>
    </xf>
    <xf numFmtId="165" fontId="12" fillId="6" borderId="33" xfId="4" applyNumberFormat="1" applyFont="1" applyFill="1" applyBorder="1" applyAlignment="1">
      <alignment horizontal="center" vertical="center"/>
    </xf>
    <xf numFmtId="10" fontId="12" fillId="6" borderId="59" xfId="4" applyNumberFormat="1" applyFont="1" applyFill="1" applyBorder="1" applyAlignment="1">
      <alignment horizontal="center" vertical="center"/>
    </xf>
    <xf numFmtId="2" fontId="12" fillId="7" borderId="32" xfId="4" applyNumberFormat="1" applyFont="1" applyFill="1" applyBorder="1" applyAlignment="1" applyProtection="1">
      <alignment vertical="center"/>
    </xf>
    <xf numFmtId="2" fontId="12" fillId="7" borderId="34" xfId="4" applyNumberFormat="1" applyFont="1" applyFill="1" applyBorder="1" applyAlignment="1" applyProtection="1">
      <alignment vertical="center"/>
    </xf>
    <xf numFmtId="2" fontId="12" fillId="7" borderId="89" xfId="4" applyNumberFormat="1" applyFont="1" applyFill="1" applyBorder="1" applyAlignment="1" applyProtection="1">
      <alignment vertical="center"/>
    </xf>
    <xf numFmtId="2" fontId="12" fillId="7" borderId="59" xfId="4" applyNumberFormat="1" applyFont="1" applyFill="1" applyBorder="1" applyAlignment="1" applyProtection="1">
      <alignment vertical="center"/>
    </xf>
    <xf numFmtId="1" fontId="13" fillId="0" borderId="5" xfId="4" applyNumberFormat="1" applyFont="1" applyBorder="1" applyAlignment="1">
      <alignment horizontal="center" vertical="center"/>
    </xf>
    <xf numFmtId="0" fontId="12" fillId="0" borderId="5" xfId="5" applyFont="1" applyBorder="1" applyAlignment="1" applyProtection="1">
      <alignment horizontal="left" vertical="center" wrapText="1"/>
    </xf>
    <xf numFmtId="165" fontId="12" fillId="0" borderId="5" xfId="4" applyNumberFormat="1" applyFont="1" applyFill="1" applyBorder="1" applyAlignment="1">
      <alignment horizontal="center" vertical="center"/>
    </xf>
    <xf numFmtId="10" fontId="12" fillId="0" borderId="57" xfId="4" applyNumberFormat="1" applyFont="1" applyBorder="1" applyAlignment="1">
      <alignment horizontal="center" vertical="center"/>
    </xf>
    <xf numFmtId="2" fontId="12" fillId="0" borderId="35" xfId="4" applyNumberFormat="1" applyFont="1" applyBorder="1" applyAlignment="1" applyProtection="1">
      <alignment vertical="center"/>
      <protection locked="0"/>
    </xf>
    <xf numFmtId="2" fontId="12" fillId="8" borderId="36" xfId="4" applyNumberFormat="1" applyFont="1" applyFill="1" applyBorder="1" applyAlignment="1">
      <alignment vertical="center"/>
    </xf>
    <xf numFmtId="2" fontId="12" fillId="0" borderId="58" xfId="4" applyNumberFormat="1" applyFont="1" applyBorder="1" applyAlignment="1" applyProtection="1">
      <alignment vertical="center"/>
      <protection locked="0"/>
    </xf>
    <xf numFmtId="2" fontId="12" fillId="8" borderId="57" xfId="4" applyNumberFormat="1" applyFont="1" applyFill="1" applyBorder="1" applyAlignment="1">
      <alignment vertical="center"/>
    </xf>
    <xf numFmtId="1" fontId="13" fillId="0" borderId="7" xfId="4" applyNumberFormat="1" applyFont="1" applyBorder="1" applyAlignment="1">
      <alignment horizontal="center" vertical="center"/>
    </xf>
    <xf numFmtId="0" fontId="12" fillId="0" borderId="7" xfId="5" applyFont="1" applyBorder="1" applyAlignment="1" applyProtection="1">
      <alignment horizontal="left" vertical="center" wrapText="1"/>
    </xf>
    <xf numFmtId="165" fontId="12" fillId="0" borderId="7" xfId="4" applyNumberFormat="1" applyFont="1" applyFill="1" applyBorder="1" applyAlignment="1">
      <alignment horizontal="center" vertical="center"/>
    </xf>
    <xf numFmtId="10" fontId="12" fillId="0" borderId="66" xfId="4" applyNumberFormat="1" applyFont="1" applyBorder="1" applyAlignment="1">
      <alignment horizontal="center" vertical="center"/>
    </xf>
    <xf numFmtId="2" fontId="12" fillId="0" borderId="50" xfId="4" applyNumberFormat="1" applyFont="1" applyBorder="1" applyAlignment="1" applyProtection="1">
      <alignment vertical="center"/>
      <protection locked="0"/>
    </xf>
    <xf numFmtId="2" fontId="12" fillId="8" borderId="54" xfId="4" applyNumberFormat="1" applyFont="1" applyFill="1" applyBorder="1" applyAlignment="1">
      <alignment vertical="center"/>
    </xf>
    <xf numFmtId="2" fontId="12" fillId="0" borderId="67" xfId="4" applyNumberFormat="1" applyFont="1" applyBorder="1" applyAlignment="1" applyProtection="1">
      <alignment vertical="center"/>
      <protection locked="0"/>
    </xf>
    <xf numFmtId="2" fontId="12" fillId="8" borderId="66" xfId="4" applyNumberFormat="1" applyFont="1" applyFill="1" applyBorder="1" applyAlignment="1">
      <alignment vertical="center"/>
    </xf>
    <xf numFmtId="1" fontId="13" fillId="0" borderId="38" xfId="4" applyNumberFormat="1" applyFont="1" applyBorder="1" applyAlignment="1">
      <alignment horizontal="center" vertical="center"/>
    </xf>
    <xf numFmtId="0" fontId="12" fillId="0" borderId="38" xfId="5" applyFont="1" applyBorder="1" applyAlignment="1" applyProtection="1">
      <alignment horizontal="left" vertical="center" wrapText="1"/>
    </xf>
    <xf numFmtId="165" fontId="12" fillId="0" borderId="38" xfId="4" applyNumberFormat="1" applyFont="1" applyFill="1" applyBorder="1" applyAlignment="1">
      <alignment horizontal="center" vertical="center"/>
    </xf>
    <xf numFmtId="10" fontId="12" fillId="0" borderId="79" xfId="4" applyNumberFormat="1" applyFont="1" applyBorder="1" applyAlignment="1">
      <alignment horizontal="center" vertical="center"/>
    </xf>
    <xf numFmtId="2" fontId="12" fillId="0" borderId="37" xfId="4" applyNumberFormat="1" applyFont="1" applyBorder="1" applyAlignment="1" applyProtection="1">
      <alignment vertical="center"/>
      <protection locked="0"/>
    </xf>
    <xf numFmtId="2" fontId="12" fillId="8" borderId="39" xfId="4" applyNumberFormat="1" applyFont="1" applyFill="1" applyBorder="1" applyAlignment="1">
      <alignment vertical="center"/>
    </xf>
    <xf numFmtId="2" fontId="12" fillId="0" borderId="80" xfId="4" applyNumberFormat="1" applyFont="1" applyBorder="1" applyAlignment="1" applyProtection="1">
      <alignment vertical="center"/>
      <protection locked="0"/>
    </xf>
    <xf numFmtId="2" fontId="12" fillId="8" borderId="79" xfId="4" applyNumberFormat="1" applyFont="1" applyFill="1" applyBorder="1" applyAlignment="1">
      <alignment vertical="center"/>
    </xf>
    <xf numFmtId="0" fontId="13" fillId="6" borderId="33" xfId="5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2" fontId="12" fillId="0" borderId="91" xfId="0" applyNumberFormat="1" applyFont="1" applyFill="1" applyBorder="1" applyAlignment="1">
      <alignment horizontal="center" vertical="center"/>
    </xf>
    <xf numFmtId="0" fontId="12" fillId="0" borderId="88" xfId="0" applyFont="1" applyFill="1" applyBorder="1" applyAlignment="1">
      <alignment horizontal="center" vertical="center"/>
    </xf>
    <xf numFmtId="0" fontId="12" fillId="4" borderId="70" xfId="0" applyFont="1" applyFill="1" applyBorder="1" applyAlignment="1">
      <alignment horizontal="right" vertical="center"/>
    </xf>
    <xf numFmtId="0" fontId="12" fillId="4" borderId="15" xfId="0" applyFont="1" applyFill="1" applyBorder="1" applyAlignment="1">
      <alignment horizontal="right" vertical="center"/>
    </xf>
    <xf numFmtId="0" fontId="18" fillId="4" borderId="15" xfId="0" applyFont="1" applyFill="1" applyBorder="1" applyAlignment="1">
      <alignment vertical="center"/>
    </xf>
    <xf numFmtId="2" fontId="12" fillId="4" borderId="15" xfId="0" applyNumberFormat="1" applyFont="1" applyFill="1" applyBorder="1" applyAlignment="1">
      <alignment horizontal="right" vertical="center"/>
    </xf>
    <xf numFmtId="10" fontId="12" fillId="4" borderId="15" xfId="0" applyNumberFormat="1" applyFont="1" applyFill="1" applyBorder="1" applyAlignment="1">
      <alignment horizontal="right" vertical="center"/>
    </xf>
    <xf numFmtId="0" fontId="13" fillId="0" borderId="1" xfId="2" applyFont="1" applyFill="1" applyBorder="1" applyAlignment="1" applyProtection="1">
      <alignment horizontal="center" vertical="center"/>
    </xf>
    <xf numFmtId="0" fontId="13" fillId="0" borderId="25" xfId="2" applyFont="1" applyFill="1" applyBorder="1" applyAlignment="1" applyProtection="1">
      <alignment horizontal="center" vertical="center"/>
    </xf>
    <xf numFmtId="0" fontId="12" fillId="0" borderId="1" xfId="2" applyFont="1" applyBorder="1" applyAlignment="1" applyProtection="1">
      <alignment horizontal="center" vertical="center"/>
    </xf>
    <xf numFmtId="10" fontId="12" fillId="5" borderId="1" xfId="2" applyNumberFormat="1" applyFont="1" applyFill="1" applyBorder="1" applyAlignment="1" applyProtection="1">
      <alignment horizontal="center" vertical="center"/>
      <protection locked="0"/>
    </xf>
    <xf numFmtId="4" fontId="13" fillId="0" borderId="1" xfId="2" applyNumberFormat="1" applyFont="1" applyFill="1" applyBorder="1" applyAlignment="1" applyProtection="1">
      <alignment horizontal="center" vertical="center"/>
    </xf>
    <xf numFmtId="10" fontId="12" fillId="0" borderId="1" xfId="2" applyNumberFormat="1" applyFont="1" applyFill="1" applyBorder="1" applyAlignment="1" applyProtection="1">
      <alignment horizontal="center" vertical="center"/>
    </xf>
    <xf numFmtId="10" fontId="12" fillId="0" borderId="25" xfId="2" applyNumberFormat="1" applyFont="1" applyFill="1" applyBorder="1" applyAlignment="1" applyProtection="1">
      <alignment horizontal="center" vertical="center"/>
    </xf>
    <xf numFmtId="10" fontId="12" fillId="0" borderId="1" xfId="2" applyNumberFormat="1" applyFont="1" applyFill="1" applyBorder="1" applyAlignment="1" applyProtection="1">
      <alignment horizontal="center" vertical="center" wrapText="1"/>
    </xf>
    <xf numFmtId="10" fontId="12" fillId="0" borderId="25" xfId="2" applyNumberFormat="1" applyFont="1" applyFill="1" applyBorder="1" applyAlignment="1" applyProtection="1">
      <alignment horizontal="center" vertical="center" wrapText="1"/>
    </xf>
    <xf numFmtId="0" fontId="12" fillId="0" borderId="1" xfId="2" applyFont="1" applyFill="1" applyBorder="1" applyAlignment="1" applyProtection="1">
      <alignment horizontal="center" vertical="center" wrapText="1"/>
    </xf>
    <xf numFmtId="4" fontId="13" fillId="0" borderId="1" xfId="2" applyNumberFormat="1" applyFont="1" applyFill="1" applyBorder="1" applyAlignment="1" applyProtection="1">
      <alignment horizontal="center" vertical="center" wrapText="1"/>
    </xf>
    <xf numFmtId="0" fontId="13" fillId="2" borderId="30" xfId="2" applyFont="1" applyFill="1" applyBorder="1" applyAlignment="1" applyProtection="1">
      <alignment horizontal="center" vertical="center" wrapText="1"/>
    </xf>
    <xf numFmtId="10" fontId="13" fillId="2" borderId="30" xfId="2" applyNumberFormat="1" applyFont="1" applyFill="1" applyBorder="1" applyAlignment="1" applyProtection="1">
      <alignment horizontal="center" vertical="center"/>
    </xf>
    <xf numFmtId="4" fontId="13" fillId="0" borderId="23" xfId="2" applyNumberFormat="1" applyFont="1" applyFill="1" applyBorder="1" applyAlignment="1" applyProtection="1">
      <alignment horizontal="center" vertical="center" wrapText="1"/>
    </xf>
    <xf numFmtId="0" fontId="12" fillId="3" borderId="0" xfId="2" applyFont="1" applyFill="1" applyBorder="1" applyAlignment="1" applyProtection="1">
      <alignment horizontal="center" vertical="top"/>
    </xf>
    <xf numFmtId="0" fontId="23" fillId="0" borderId="0" xfId="0" applyFont="1"/>
    <xf numFmtId="2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6" xfId="0" applyFont="1" applyFill="1" applyBorder="1" applyAlignment="1">
      <alignment vertical="center" wrapText="1"/>
    </xf>
    <xf numFmtId="0" fontId="12" fillId="0" borderId="58" xfId="0" applyFont="1" applyFill="1" applyBorder="1" applyAlignment="1">
      <alignment horizontal="center" vertical="center"/>
    </xf>
    <xf numFmtId="0" fontId="12" fillId="0" borderId="81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/>
    </xf>
    <xf numFmtId="164" fontId="4" fillId="0" borderId="5" xfId="0" applyNumberFormat="1" applyFont="1" applyBorder="1"/>
    <xf numFmtId="164" fontId="4" fillId="0" borderId="38" xfId="0" applyNumberFormat="1" applyFont="1" applyBorder="1"/>
    <xf numFmtId="0" fontId="4" fillId="0" borderId="36" xfId="0" applyFont="1" applyBorder="1"/>
    <xf numFmtId="0" fontId="4" fillId="0" borderId="39" xfId="0" applyFont="1" applyBorder="1"/>
    <xf numFmtId="14" fontId="4" fillId="0" borderId="5" xfId="0" applyNumberFormat="1" applyFont="1" applyBorder="1"/>
    <xf numFmtId="14" fontId="4" fillId="0" borderId="38" xfId="0" applyNumberFormat="1" applyFont="1" applyBorder="1"/>
    <xf numFmtId="165" fontId="13" fillId="0" borderId="102" xfId="4" applyNumberFormat="1" applyFont="1" applyFill="1" applyBorder="1" applyAlignment="1">
      <alignment horizontal="center"/>
    </xf>
    <xf numFmtId="10" fontId="13" fillId="0" borderId="102" xfId="4" applyNumberFormat="1" applyFont="1" applyFill="1" applyBorder="1" applyAlignment="1">
      <alignment horizontal="center"/>
    </xf>
    <xf numFmtId="10" fontId="12" fillId="0" borderId="102" xfId="4" applyNumberFormat="1" applyFont="1" applyFill="1" applyBorder="1" applyAlignment="1">
      <alignment horizontal="center"/>
    </xf>
    <xf numFmtId="10" fontId="13" fillId="0" borderId="103" xfId="4" applyNumberFormat="1" applyFont="1" applyFill="1" applyBorder="1" applyAlignment="1">
      <alignment horizontal="center"/>
    </xf>
    <xf numFmtId="0" fontId="4" fillId="0" borderId="40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vertical="center" wrapText="1"/>
    </xf>
    <xf numFmtId="2" fontId="4" fillId="0" borderId="0" xfId="0" applyNumberFormat="1" applyFont="1" applyFill="1" applyBorder="1" applyAlignment="1">
      <alignment horizontal="center"/>
    </xf>
    <xf numFmtId="2" fontId="4" fillId="0" borderId="40" xfId="0" applyNumberFormat="1" applyFont="1" applyFill="1" applyBorder="1" applyAlignment="1">
      <alignment horizontal="center" vertical="center"/>
    </xf>
    <xf numFmtId="10" fontId="4" fillId="0" borderId="7" xfId="0" applyNumberFormat="1" applyFont="1" applyFill="1" applyBorder="1" applyAlignment="1">
      <alignment horizontal="center" vertical="center"/>
    </xf>
    <xf numFmtId="2" fontId="4" fillId="0" borderId="46" xfId="0" applyNumberFormat="1" applyFont="1" applyFill="1" applyBorder="1" applyAlignment="1">
      <alignment horizontal="center" vertical="center"/>
    </xf>
    <xf numFmtId="10" fontId="6" fillId="0" borderId="0" xfId="0" applyNumberFormat="1" applyFont="1" applyBorder="1"/>
    <xf numFmtId="0" fontId="4" fillId="0" borderId="41" xfId="0" applyFont="1" applyFill="1" applyBorder="1" applyAlignment="1">
      <alignment horizontal="center" vertical="center"/>
    </xf>
    <xf numFmtId="10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vertical="center"/>
    </xf>
    <xf numFmtId="2" fontId="4" fillId="0" borderId="38" xfId="0" applyNumberFormat="1" applyFont="1" applyFill="1" applyBorder="1" applyAlignment="1">
      <alignment horizontal="center" vertical="center"/>
    </xf>
    <xf numFmtId="10" fontId="4" fillId="0" borderId="38" xfId="0" applyNumberFormat="1" applyFont="1" applyFill="1" applyBorder="1" applyAlignment="1">
      <alignment horizontal="center" vertical="center"/>
    </xf>
    <xf numFmtId="2" fontId="4" fillId="0" borderId="39" xfId="0" applyNumberFormat="1" applyFont="1" applyFill="1" applyBorder="1" applyAlignment="1">
      <alignment horizontal="center" vertical="center"/>
    </xf>
    <xf numFmtId="2" fontId="4" fillId="3" borderId="93" xfId="6" applyNumberFormat="1" applyFont="1" applyFill="1" applyBorder="1" applyAlignment="1">
      <alignment horizontal="center" vertical="center"/>
    </xf>
    <xf numFmtId="2" fontId="4" fillId="0" borderId="7" xfId="0" applyNumberFormat="1" applyFont="1" applyFill="1" applyBorder="1" applyAlignment="1">
      <alignment horizontal="center" vertical="center"/>
    </xf>
    <xf numFmtId="2" fontId="4" fillId="3" borderId="51" xfId="6" applyNumberFormat="1" applyFont="1" applyFill="1" applyBorder="1" applyAlignment="1">
      <alignment horizontal="center" vertical="center"/>
    </xf>
    <xf numFmtId="0" fontId="0" fillId="0" borderId="51" xfId="0" applyBorder="1"/>
    <xf numFmtId="0" fontId="0" fillId="0" borderId="23" xfId="0" applyBorder="1"/>
    <xf numFmtId="2" fontId="12" fillId="3" borderId="6" xfId="0" applyNumberFormat="1" applyFont="1" applyFill="1" applyBorder="1" applyAlignment="1">
      <alignment horizontal="center" vertical="center"/>
    </xf>
    <xf numFmtId="2" fontId="12" fillId="3" borderId="38" xfId="0" applyNumberFormat="1" applyFont="1" applyFill="1" applyBorder="1" applyAlignment="1">
      <alignment horizontal="center" vertical="center"/>
    </xf>
    <xf numFmtId="2" fontId="12" fillId="3" borderId="5" xfId="0" applyNumberFormat="1" applyFont="1" applyFill="1" applyBorder="1" applyAlignment="1">
      <alignment horizontal="center" vertical="center"/>
    </xf>
    <xf numFmtId="2" fontId="4" fillId="3" borderId="40" xfId="0" applyNumberFormat="1" applyFont="1" applyFill="1" applyBorder="1" applyAlignment="1">
      <alignment horizontal="center" vertical="center"/>
    </xf>
    <xf numFmtId="10" fontId="12" fillId="0" borderId="0" xfId="0" applyNumberFormat="1" applyFont="1"/>
    <xf numFmtId="10" fontId="12" fillId="0" borderId="0" xfId="0" applyNumberFormat="1" applyFont="1" applyAlignment="1">
      <alignment vertical="center"/>
    </xf>
    <xf numFmtId="0" fontId="21" fillId="3" borderId="10" xfId="0" applyFont="1" applyFill="1" applyBorder="1" applyAlignment="1">
      <alignment horizontal="right" vertical="center" wrapText="1"/>
    </xf>
    <xf numFmtId="0" fontId="21" fillId="3" borderId="11" xfId="0" applyFont="1" applyFill="1" applyBorder="1" applyAlignment="1">
      <alignment horizontal="right" vertical="center" wrapText="1"/>
    </xf>
    <xf numFmtId="0" fontId="21" fillId="3" borderId="12" xfId="0" applyFont="1" applyFill="1" applyBorder="1" applyAlignment="1">
      <alignment horizontal="right" vertical="center" wrapText="1"/>
    </xf>
    <xf numFmtId="0" fontId="13" fillId="3" borderId="8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13" fillId="3" borderId="19" xfId="3" applyFont="1" applyFill="1" applyBorder="1" applyAlignment="1" applyProtection="1">
      <alignment horizontal="left" vertical="top"/>
    </xf>
    <xf numFmtId="0" fontId="13" fillId="3" borderId="21" xfId="3" applyFont="1" applyFill="1" applyBorder="1" applyAlignment="1" applyProtection="1">
      <alignment horizontal="left" vertical="top"/>
    </xf>
    <xf numFmtId="0" fontId="13" fillId="3" borderId="16" xfId="3" applyFont="1" applyFill="1" applyBorder="1" applyAlignment="1" applyProtection="1">
      <alignment horizontal="left" vertical="top"/>
    </xf>
    <xf numFmtId="0" fontId="13" fillId="3" borderId="21" xfId="3" applyFont="1" applyFill="1" applyBorder="1" applyAlignment="1" applyProtection="1">
      <alignment horizontal="center" vertical="top"/>
    </xf>
    <xf numFmtId="0" fontId="13" fillId="3" borderId="16" xfId="3" applyFont="1" applyFill="1" applyBorder="1" applyAlignment="1" applyProtection="1">
      <alignment horizontal="center" vertical="top"/>
    </xf>
    <xf numFmtId="0" fontId="12" fillId="0" borderId="1" xfId="2" applyFont="1" applyFill="1" applyBorder="1" applyAlignment="1" applyProtection="1">
      <alignment horizontal="left" wrapText="1"/>
    </xf>
    <xf numFmtId="10" fontId="12" fillId="0" borderId="1" xfId="2" applyNumberFormat="1" applyFont="1" applyFill="1" applyBorder="1" applyAlignment="1" applyProtection="1">
      <alignment horizontal="center"/>
      <protection locked="0"/>
    </xf>
    <xf numFmtId="0" fontId="12" fillId="3" borderId="20" xfId="3" applyFont="1" applyFill="1" applyBorder="1" applyAlignment="1" applyProtection="1">
      <alignment horizontal="left" vertical="top"/>
    </xf>
    <xf numFmtId="0" fontId="13" fillId="3" borderId="22" xfId="3" applyFont="1" applyFill="1" applyBorder="1" applyAlignment="1" applyProtection="1">
      <alignment horizontal="left" vertical="top"/>
    </xf>
    <xf numFmtId="0" fontId="13" fillId="3" borderId="17" xfId="3" applyFont="1" applyFill="1" applyBorder="1" applyAlignment="1" applyProtection="1">
      <alignment horizontal="left" vertical="top"/>
    </xf>
    <xf numFmtId="0" fontId="12" fillId="3" borderId="22" xfId="3" applyFont="1" applyFill="1" applyBorder="1" applyAlignment="1" applyProtection="1">
      <alignment horizontal="center" vertical="top"/>
    </xf>
    <xf numFmtId="0" fontId="12" fillId="3" borderId="17" xfId="3" applyFont="1" applyFill="1" applyBorder="1" applyAlignment="1" applyProtection="1">
      <alignment horizontal="center" vertical="top"/>
    </xf>
    <xf numFmtId="0" fontId="12" fillId="3" borderId="13" xfId="0" applyFont="1" applyFill="1" applyBorder="1" applyAlignment="1">
      <alignment horizontal="left"/>
    </xf>
    <xf numFmtId="0" fontId="12" fillId="3" borderId="0" xfId="0" applyFont="1" applyFill="1" applyBorder="1" applyAlignment="1">
      <alignment horizontal="left"/>
    </xf>
    <xf numFmtId="0" fontId="12" fillId="3" borderId="14" xfId="0" applyFont="1" applyFill="1" applyBorder="1" applyAlignment="1">
      <alignment horizontal="left"/>
    </xf>
    <xf numFmtId="0" fontId="13" fillId="3" borderId="97" xfId="0" applyFont="1" applyFill="1" applyBorder="1" applyAlignment="1">
      <alignment horizontal="center" vertical="center"/>
    </xf>
    <xf numFmtId="0" fontId="12" fillId="3" borderId="98" xfId="2" applyFont="1" applyFill="1" applyBorder="1" applyAlignment="1" applyProtection="1">
      <alignment horizontal="center"/>
    </xf>
    <xf numFmtId="0" fontId="12" fillId="0" borderId="1" xfId="2" applyFont="1" applyFill="1" applyBorder="1" applyAlignment="1" applyProtection="1">
      <alignment horizontal="left"/>
    </xf>
    <xf numFmtId="0" fontId="13" fillId="0" borderId="26" xfId="2" applyFont="1" applyBorder="1" applyAlignment="1" applyProtection="1">
      <alignment horizontal="center" vertical="center"/>
    </xf>
    <xf numFmtId="0" fontId="13" fillId="0" borderId="27" xfId="2" applyFont="1" applyBorder="1" applyAlignment="1" applyProtection="1">
      <alignment horizontal="center" vertical="center"/>
    </xf>
    <xf numFmtId="0" fontId="13" fillId="0" borderId="24" xfId="2" applyFont="1" applyBorder="1" applyAlignment="1" applyProtection="1">
      <alignment horizontal="center" vertical="center"/>
    </xf>
    <xf numFmtId="0" fontId="13" fillId="0" borderId="1" xfId="2" applyFont="1" applyBorder="1" applyAlignment="1" applyProtection="1">
      <alignment horizontal="center" vertical="center"/>
    </xf>
    <xf numFmtId="4" fontId="13" fillId="0" borderId="27" xfId="2" applyNumberFormat="1" applyFont="1" applyFill="1" applyBorder="1" applyAlignment="1" applyProtection="1">
      <alignment horizontal="center" vertical="center" wrapText="1"/>
    </xf>
    <xf numFmtId="4" fontId="13" fillId="0" borderId="1" xfId="2" applyNumberFormat="1" applyFont="1" applyFill="1" applyBorder="1" applyAlignment="1" applyProtection="1">
      <alignment horizontal="center" vertical="center" wrapText="1"/>
    </xf>
    <xf numFmtId="0" fontId="13" fillId="0" borderId="27" xfId="2" applyFont="1" applyBorder="1" applyAlignment="1" applyProtection="1">
      <alignment horizontal="center"/>
    </xf>
    <xf numFmtId="0" fontId="13" fillId="0" borderId="28" xfId="2" applyFont="1" applyBorder="1" applyAlignment="1" applyProtection="1">
      <alignment horizontal="center"/>
    </xf>
    <xf numFmtId="0" fontId="12" fillId="3" borderId="99" xfId="2" applyFont="1" applyFill="1" applyBorder="1" applyAlignment="1" applyProtection="1">
      <alignment horizontal="center"/>
    </xf>
    <xf numFmtId="0" fontId="12" fillId="0" borderId="29" xfId="2" applyFont="1" applyBorder="1" applyAlignment="1" applyProtection="1">
      <alignment horizontal="left" vertical="center" wrapText="1"/>
    </xf>
    <xf numFmtId="0" fontId="12" fillId="0" borderId="4" xfId="2" applyFont="1" applyBorder="1" applyAlignment="1" applyProtection="1">
      <alignment horizontal="left" vertical="center" wrapText="1"/>
    </xf>
    <xf numFmtId="0" fontId="4" fillId="3" borderId="0" xfId="0" applyFont="1" applyFill="1" applyBorder="1" applyAlignment="1">
      <alignment horizontal="center" vertical="center"/>
    </xf>
    <xf numFmtId="0" fontId="12" fillId="3" borderId="0" xfId="2" applyFont="1" applyFill="1" applyAlignment="1" applyProtection="1">
      <alignment horizontal="center"/>
    </xf>
    <xf numFmtId="0" fontId="12" fillId="0" borderId="1" xfId="2" applyFont="1" applyBorder="1" applyAlignment="1" applyProtection="1">
      <alignment horizontal="center" vertical="center" wrapText="1"/>
    </xf>
    <xf numFmtId="0" fontId="12" fillId="0" borderId="22" xfId="0" applyFont="1" applyBorder="1" applyAlignment="1">
      <alignment horizontal="center"/>
    </xf>
    <xf numFmtId="0" fontId="19" fillId="3" borderId="0" xfId="0" quotePrefix="1" applyFont="1" applyFill="1" applyBorder="1" applyAlignment="1" applyProtection="1">
      <alignment horizontal="left" vertical="center"/>
    </xf>
    <xf numFmtId="0" fontId="19" fillId="3" borderId="0" xfId="0" applyFont="1" applyFill="1" applyBorder="1" applyAlignment="1" applyProtection="1">
      <alignment horizontal="left" vertical="center"/>
    </xf>
    <xf numFmtId="0" fontId="19" fillId="3" borderId="0" xfId="0" applyFont="1" applyFill="1" applyBorder="1" applyAlignment="1" applyProtection="1">
      <alignment horizontal="center" vertical="top"/>
    </xf>
    <xf numFmtId="0" fontId="12" fillId="0" borderId="2" xfId="2" applyFont="1" applyBorder="1" applyAlignment="1" applyProtection="1">
      <alignment horizontal="center" vertical="center" wrapText="1"/>
    </xf>
    <xf numFmtId="0" fontId="12" fillId="0" borderId="3" xfId="2" applyFont="1" applyBorder="1" applyAlignment="1" applyProtection="1">
      <alignment horizontal="center" vertical="center" wrapText="1"/>
    </xf>
    <xf numFmtId="0" fontId="12" fillId="0" borderId="4" xfId="2" applyFont="1" applyBorder="1" applyAlignment="1" applyProtection="1">
      <alignment horizontal="center" vertical="center" wrapText="1"/>
    </xf>
    <xf numFmtId="2" fontId="13" fillId="2" borderId="30" xfId="2" applyNumberFormat="1" applyFont="1" applyFill="1" applyBorder="1" applyAlignment="1" applyProtection="1">
      <alignment horizontal="center" vertical="center"/>
    </xf>
    <xf numFmtId="2" fontId="13" fillId="2" borderId="31" xfId="2" applyNumberFormat="1" applyFont="1" applyFill="1" applyBorder="1" applyAlignment="1" applyProtection="1">
      <alignment horizontal="center" vertical="center"/>
    </xf>
    <xf numFmtId="0" fontId="12" fillId="3" borderId="0" xfId="2" applyFont="1" applyFill="1" applyBorder="1" applyAlignment="1" applyProtection="1">
      <alignment horizontal="center" vertical="top"/>
    </xf>
    <xf numFmtId="0" fontId="13" fillId="2" borderId="94" xfId="2" applyFont="1" applyFill="1" applyBorder="1" applyAlignment="1" applyProtection="1">
      <alignment horizontal="left" vertical="center" wrapText="1"/>
    </xf>
    <xf numFmtId="0" fontId="13" fillId="2" borderId="95" xfId="2" applyFont="1" applyFill="1" applyBorder="1" applyAlignment="1" applyProtection="1">
      <alignment horizontal="left" vertical="center" wrapText="1"/>
    </xf>
    <xf numFmtId="0" fontId="19" fillId="3" borderId="0" xfId="0" applyFont="1" applyFill="1" applyBorder="1" applyAlignment="1" applyProtection="1">
      <alignment horizontal="right" vertical="center"/>
    </xf>
    <xf numFmtId="0" fontId="4" fillId="3" borderId="96" xfId="0" applyFont="1" applyFill="1" applyBorder="1" applyAlignment="1">
      <alignment horizontal="center" vertical="center"/>
    </xf>
    <xf numFmtId="0" fontId="12" fillId="3" borderId="68" xfId="2" applyFont="1" applyFill="1" applyBorder="1" applyAlignment="1" applyProtection="1">
      <alignment horizontal="center"/>
    </xf>
    <xf numFmtId="0" fontId="20" fillId="3" borderId="100" xfId="2" applyFont="1" applyFill="1" applyBorder="1" applyAlignment="1" applyProtection="1">
      <alignment horizontal="center" vertical="top"/>
    </xf>
    <xf numFmtId="0" fontId="12" fillId="3" borderId="3" xfId="2" applyFont="1" applyFill="1" applyBorder="1" applyAlignment="1" applyProtection="1">
      <alignment horizontal="center"/>
    </xf>
    <xf numFmtId="0" fontId="12" fillId="3" borderId="96" xfId="2" applyFont="1" applyFill="1" applyBorder="1" applyAlignment="1" applyProtection="1">
      <alignment horizontal="center"/>
    </xf>
    <xf numFmtId="0" fontId="12" fillId="3" borderId="0" xfId="2" applyFont="1" applyFill="1" applyBorder="1" applyAlignment="1" applyProtection="1">
      <alignment horizontal="center"/>
    </xf>
    <xf numFmtId="0" fontId="12" fillId="3" borderId="0" xfId="0" applyFont="1" applyFill="1" applyBorder="1" applyAlignment="1">
      <alignment horizontal="center" vertical="center"/>
    </xf>
    <xf numFmtId="0" fontId="12" fillId="0" borderId="29" xfId="2" applyFont="1" applyBorder="1" applyAlignment="1" applyProtection="1">
      <alignment horizontal="left" vertical="center"/>
    </xf>
    <xf numFmtId="0" fontId="12" fillId="0" borderId="4" xfId="2" applyFont="1" applyBorder="1" applyAlignment="1" applyProtection="1">
      <alignment horizontal="left" vertical="center"/>
    </xf>
    <xf numFmtId="0" fontId="12" fillId="0" borderId="66" xfId="0" applyFont="1" applyFill="1" applyBorder="1" applyAlignment="1">
      <alignment horizontal="center" vertical="center"/>
    </xf>
    <xf numFmtId="0" fontId="12" fillId="0" borderId="67" xfId="0" applyFont="1" applyFill="1" applyBorder="1" applyAlignment="1">
      <alignment horizontal="center" vertical="center"/>
    </xf>
    <xf numFmtId="0" fontId="12" fillId="3" borderId="81" xfId="0" applyFont="1" applyFill="1" applyBorder="1" applyAlignment="1">
      <alignment horizontal="center" vertical="center"/>
    </xf>
    <xf numFmtId="0" fontId="12" fillId="3" borderId="87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/>
    </xf>
    <xf numFmtId="0" fontId="4" fillId="3" borderId="71" xfId="0" applyFont="1" applyFill="1" applyBorder="1" applyAlignment="1">
      <alignment horizontal="center"/>
    </xf>
    <xf numFmtId="0" fontId="12" fillId="0" borderId="57" xfId="0" applyFont="1" applyFill="1" applyBorder="1" applyAlignment="1">
      <alignment horizontal="center" vertical="center"/>
    </xf>
    <xf numFmtId="0" fontId="12" fillId="0" borderId="58" xfId="0" applyFont="1" applyFill="1" applyBorder="1" applyAlignment="1">
      <alignment horizontal="center" vertical="center"/>
    </xf>
    <xf numFmtId="164" fontId="18" fillId="4" borderId="15" xfId="0" applyNumberFormat="1" applyFont="1" applyFill="1" applyBorder="1" applyAlignment="1">
      <alignment horizontal="right" vertical="center"/>
    </xf>
    <xf numFmtId="164" fontId="18" fillId="4" borderId="71" xfId="0" applyNumberFormat="1" applyFont="1" applyFill="1" applyBorder="1" applyAlignment="1">
      <alignment horizontal="right" vertical="center"/>
    </xf>
    <xf numFmtId="0" fontId="6" fillId="0" borderId="56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63" xfId="0" applyFont="1" applyFill="1" applyBorder="1" applyAlignment="1">
      <alignment horizontal="center" vertical="center"/>
    </xf>
    <xf numFmtId="0" fontId="12" fillId="0" borderId="81" xfId="0" applyFont="1" applyFill="1" applyBorder="1" applyAlignment="1">
      <alignment horizontal="center" vertical="center"/>
    </xf>
    <xf numFmtId="10" fontId="4" fillId="3" borderId="0" xfId="0" applyNumberFormat="1" applyFont="1" applyFill="1" applyBorder="1" applyAlignment="1">
      <alignment horizontal="center"/>
    </xf>
    <xf numFmtId="10" fontId="4" fillId="3" borderId="64" xfId="0" applyNumberFormat="1" applyFont="1" applyFill="1" applyBorder="1" applyAlignment="1">
      <alignment horizontal="center"/>
    </xf>
    <xf numFmtId="0" fontId="11" fillId="4" borderId="76" xfId="0" applyFont="1" applyFill="1" applyBorder="1" applyAlignment="1">
      <alignment horizontal="center"/>
    </xf>
    <xf numFmtId="0" fontId="11" fillId="4" borderId="77" xfId="0" applyFont="1" applyFill="1" applyBorder="1" applyAlignment="1">
      <alignment horizontal="center"/>
    </xf>
    <xf numFmtId="0" fontId="11" fillId="4" borderId="78" xfId="0" applyFont="1" applyFill="1" applyBorder="1" applyAlignment="1">
      <alignment horizontal="center"/>
    </xf>
    <xf numFmtId="0" fontId="15" fillId="3" borderId="62" xfId="0" applyFont="1" applyFill="1" applyBorder="1" applyAlignment="1">
      <alignment horizontal="right" vertical="center" wrapText="1"/>
    </xf>
    <xf numFmtId="0" fontId="15" fillId="3" borderId="68" xfId="0" applyFont="1" applyFill="1" applyBorder="1" applyAlignment="1">
      <alignment horizontal="right" vertical="center" wrapText="1"/>
    </xf>
    <xf numFmtId="0" fontId="15" fillId="3" borderId="69" xfId="0" applyFont="1" applyFill="1" applyBorder="1" applyAlignment="1">
      <alignment horizontal="right" vertical="center" wrapText="1"/>
    </xf>
    <xf numFmtId="0" fontId="11" fillId="3" borderId="72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73" xfId="0" applyFont="1" applyFill="1" applyBorder="1" applyAlignment="1">
      <alignment horizontal="center" vertical="center"/>
    </xf>
    <xf numFmtId="0" fontId="4" fillId="3" borderId="55" xfId="0" applyFont="1" applyFill="1" applyBorder="1" applyAlignment="1">
      <alignment horizontal="left"/>
    </xf>
    <xf numFmtId="0" fontId="4" fillId="3" borderId="0" xfId="0" applyFont="1" applyFill="1" applyBorder="1" applyAlignment="1">
      <alignment horizontal="left"/>
    </xf>
    <xf numFmtId="0" fontId="4" fillId="3" borderId="23" xfId="0" applyFont="1" applyFill="1" applyBorder="1" applyAlignment="1">
      <alignment horizontal="center" vertical="center"/>
    </xf>
    <xf numFmtId="0" fontId="6" fillId="3" borderId="104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6" fillId="3" borderId="105" xfId="0" applyFont="1" applyFill="1" applyBorder="1" applyAlignment="1">
      <alignment horizontal="center"/>
    </xf>
    <xf numFmtId="0" fontId="6" fillId="3" borderId="55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6" fillId="3" borderId="64" xfId="0" applyFont="1" applyFill="1" applyBorder="1" applyAlignment="1">
      <alignment horizontal="center"/>
    </xf>
    <xf numFmtId="0" fontId="6" fillId="3" borderId="23" xfId="0" applyFont="1" applyFill="1" applyBorder="1" applyAlignment="1">
      <alignment horizontal="center"/>
    </xf>
    <xf numFmtId="0" fontId="6" fillId="3" borderId="63" xfId="0" applyFont="1" applyFill="1" applyBorder="1" applyAlignment="1">
      <alignment horizontal="center"/>
    </xf>
    <xf numFmtId="0" fontId="6" fillId="3" borderId="56" xfId="0" applyFont="1" applyFill="1" applyBorder="1" applyAlignment="1">
      <alignment horizontal="center"/>
    </xf>
    <xf numFmtId="1" fontId="13" fillId="0" borderId="47" xfId="4" applyNumberFormat="1" applyFont="1" applyFill="1" applyBorder="1" applyAlignment="1">
      <alignment horizontal="center" vertical="center"/>
    </xf>
    <xf numFmtId="1" fontId="13" fillId="0" borderId="45" xfId="4" applyNumberFormat="1" applyFont="1" applyFill="1" applyBorder="1" applyAlignment="1">
      <alignment horizontal="center" vertical="center"/>
    </xf>
    <xf numFmtId="1" fontId="13" fillId="0" borderId="53" xfId="4" applyNumberFormat="1" applyFont="1" applyFill="1" applyBorder="1" applyAlignment="1">
      <alignment horizontal="center" vertical="center"/>
    </xf>
    <xf numFmtId="1" fontId="13" fillId="0" borderId="32" xfId="4" applyNumberFormat="1" applyFont="1" applyBorder="1" applyAlignment="1">
      <alignment horizontal="center" vertical="center"/>
    </xf>
    <xf numFmtId="1" fontId="13" fillId="0" borderId="41" xfId="4" applyNumberFormat="1" applyFont="1" applyBorder="1" applyAlignment="1">
      <alignment horizontal="center" vertical="center"/>
    </xf>
    <xf numFmtId="1" fontId="13" fillId="0" borderId="35" xfId="4" applyNumberFormat="1" applyFont="1" applyBorder="1" applyAlignment="1">
      <alignment horizontal="center" vertical="center"/>
    </xf>
    <xf numFmtId="1" fontId="13" fillId="0" borderId="47" xfId="4" applyNumberFormat="1" applyFont="1" applyBorder="1" applyAlignment="1">
      <alignment horizontal="center" vertical="center"/>
    </xf>
    <xf numFmtId="1" fontId="13" fillId="0" borderId="45" xfId="4" applyNumberFormat="1" applyFont="1" applyBorder="1" applyAlignment="1">
      <alignment horizontal="center" vertical="center"/>
    </xf>
    <xf numFmtId="1" fontId="13" fillId="0" borderId="37" xfId="4" applyNumberFormat="1" applyFont="1" applyBorder="1" applyAlignment="1">
      <alignment horizontal="center" vertical="center"/>
    </xf>
    <xf numFmtId="1" fontId="13" fillId="0" borderId="76" xfId="4" applyNumberFormat="1" applyFont="1" applyFill="1" applyBorder="1" applyAlignment="1">
      <alignment horizontal="center" vertical="center"/>
    </xf>
    <xf numFmtId="1" fontId="13" fillId="0" borderId="77" xfId="4" applyNumberFormat="1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/>
    </xf>
    <xf numFmtId="0" fontId="12" fillId="3" borderId="0" xfId="0" applyFont="1" applyFill="1" applyAlignment="1">
      <alignment horizontal="center"/>
    </xf>
    <xf numFmtId="1" fontId="13" fillId="0" borderId="53" xfId="4" applyNumberFormat="1" applyFont="1" applyBorder="1" applyAlignment="1">
      <alignment horizontal="center" vertical="center"/>
    </xf>
    <xf numFmtId="0" fontId="12" fillId="3" borderId="21" xfId="0" applyFont="1" applyFill="1" applyBorder="1" applyAlignment="1">
      <alignment horizontal="center" vertical="center"/>
    </xf>
    <xf numFmtId="2" fontId="13" fillId="0" borderId="101" xfId="4" applyNumberFormat="1" applyFont="1" applyFill="1" applyBorder="1" applyAlignment="1">
      <alignment horizontal="center"/>
    </xf>
    <xf numFmtId="2" fontId="13" fillId="0" borderId="102" xfId="4" applyNumberFormat="1" applyFont="1" applyFill="1" applyBorder="1" applyAlignment="1">
      <alignment horizontal="center"/>
    </xf>
    <xf numFmtId="2" fontId="13" fillId="0" borderId="90" xfId="4" applyNumberFormat="1" applyFont="1" applyBorder="1" applyAlignment="1" applyProtection="1">
      <alignment horizontal="center"/>
      <protection locked="0"/>
    </xf>
    <xf numFmtId="2" fontId="13" fillId="0" borderId="61" xfId="4" applyNumberFormat="1" applyFont="1" applyBorder="1" applyAlignment="1" applyProtection="1">
      <alignment horizontal="center"/>
      <protection locked="0"/>
    </xf>
    <xf numFmtId="2" fontId="13" fillId="0" borderId="59" xfId="4" applyNumberFormat="1" applyFont="1" applyBorder="1" applyAlignment="1">
      <alignment horizontal="center" vertical="center"/>
    </xf>
    <xf numFmtId="2" fontId="13" fillId="0" borderId="57" xfId="4" applyNumberFormat="1" applyFont="1" applyBorder="1" applyAlignment="1">
      <alignment horizontal="center" vertical="center"/>
    </xf>
    <xf numFmtId="2" fontId="13" fillId="0" borderId="79" xfId="4" applyNumberFormat="1" applyFont="1" applyBorder="1" applyAlignment="1">
      <alignment horizontal="center" vertical="center"/>
    </xf>
    <xf numFmtId="2" fontId="13" fillId="0" borderId="32" xfId="4" applyNumberFormat="1" applyFont="1" applyBorder="1" applyAlignment="1">
      <alignment horizontal="center" vertical="center"/>
    </xf>
    <xf numFmtId="2" fontId="13" fillId="0" borderId="33" xfId="4" applyNumberFormat="1" applyFont="1" applyBorder="1" applyAlignment="1">
      <alignment horizontal="center" vertical="center"/>
    </xf>
    <xf numFmtId="2" fontId="13" fillId="0" borderId="35" xfId="4" applyNumberFormat="1" applyFont="1" applyBorder="1" applyAlignment="1">
      <alignment horizontal="center" vertical="center"/>
    </xf>
    <xf numFmtId="2" fontId="13" fillId="0" borderId="5" xfId="4" applyNumberFormat="1" applyFont="1" applyBorder="1" applyAlignment="1">
      <alignment horizontal="center" vertical="center"/>
    </xf>
    <xf numFmtId="2" fontId="13" fillId="0" borderId="37" xfId="4" applyNumberFormat="1" applyFont="1" applyBorder="1" applyAlignment="1">
      <alignment horizontal="center" vertical="center"/>
    </xf>
    <xf numFmtId="2" fontId="13" fillId="0" borderId="38" xfId="4" applyNumberFormat="1" applyFont="1" applyBorder="1" applyAlignment="1">
      <alignment horizontal="center" vertical="center"/>
    </xf>
    <xf numFmtId="2" fontId="13" fillId="0" borderId="33" xfId="4" applyNumberFormat="1" applyFont="1" applyBorder="1" applyAlignment="1">
      <alignment horizontal="center" vertical="center" wrapText="1"/>
    </xf>
    <xf numFmtId="2" fontId="13" fillId="0" borderId="5" xfId="4" applyNumberFormat="1" applyFont="1" applyBorder="1" applyAlignment="1">
      <alignment horizontal="center" vertical="center" wrapText="1"/>
    </xf>
    <xf numFmtId="2" fontId="13" fillId="0" borderId="38" xfId="4" applyNumberFormat="1" applyFont="1" applyBorder="1" applyAlignment="1">
      <alignment horizontal="center" vertical="center" wrapText="1"/>
    </xf>
    <xf numFmtId="2" fontId="12" fillId="3" borderId="11" xfId="0" applyNumberFormat="1" applyFont="1" applyFill="1" applyBorder="1" applyAlignment="1">
      <alignment horizontal="center"/>
    </xf>
    <xf numFmtId="2" fontId="12" fillId="3" borderId="0" xfId="0" applyNumberFormat="1" applyFont="1" applyFill="1" applyBorder="1" applyAlignment="1">
      <alignment horizontal="center"/>
    </xf>
    <xf numFmtId="2" fontId="12" fillId="3" borderId="22" xfId="0" applyNumberFormat="1" applyFont="1" applyFill="1" applyBorder="1" applyAlignment="1">
      <alignment horizontal="center"/>
    </xf>
    <xf numFmtId="0" fontId="15" fillId="3" borderId="55" xfId="0" applyFont="1" applyFill="1" applyBorder="1" applyAlignment="1">
      <alignment horizontal="right" vertical="center" wrapText="1"/>
    </xf>
    <xf numFmtId="0" fontId="15" fillId="3" borderId="0" xfId="0" applyFont="1" applyFill="1" applyBorder="1" applyAlignment="1">
      <alignment horizontal="right" vertical="center" wrapText="1"/>
    </xf>
    <xf numFmtId="2" fontId="13" fillId="0" borderId="62" xfId="4" applyNumberFormat="1" applyFont="1" applyBorder="1" applyAlignment="1">
      <alignment horizontal="center"/>
    </xf>
    <xf numFmtId="2" fontId="13" fillId="0" borderId="68" xfId="4" applyNumberFormat="1" applyFont="1" applyBorder="1" applyAlignment="1">
      <alignment horizontal="center"/>
    </xf>
    <xf numFmtId="0" fontId="11" fillId="3" borderId="76" xfId="0" applyFont="1" applyFill="1" applyBorder="1" applyAlignment="1">
      <alignment horizontal="center"/>
    </xf>
    <xf numFmtId="0" fontId="11" fillId="3" borderId="77" xfId="0" applyFont="1" applyFill="1" applyBorder="1" applyAlignment="1">
      <alignment horizontal="center"/>
    </xf>
    <xf numFmtId="2" fontId="13" fillId="0" borderId="60" xfId="4" applyNumberFormat="1" applyFont="1" applyBorder="1" applyAlignment="1" applyProtection="1">
      <alignment horizontal="center"/>
      <protection locked="0"/>
    </xf>
    <xf numFmtId="0" fontId="13" fillId="6" borderId="90" xfId="0" applyFont="1" applyFill="1" applyBorder="1" applyAlignment="1">
      <alignment horizontal="center" vertical="center"/>
    </xf>
    <xf numFmtId="0" fontId="13" fillId="6" borderId="60" xfId="0" applyFont="1" applyFill="1" applyBorder="1" applyAlignment="1">
      <alignment horizontal="center" vertical="center"/>
    </xf>
    <xf numFmtId="0" fontId="13" fillId="6" borderId="61" xfId="0" applyFont="1" applyFill="1" applyBorder="1" applyAlignment="1">
      <alignment horizontal="center" vertical="center"/>
    </xf>
    <xf numFmtId="0" fontId="13" fillId="0" borderId="55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64" xfId="0" applyFont="1" applyFill="1" applyBorder="1" applyAlignment="1">
      <alignment horizontal="center" vertical="center"/>
    </xf>
    <xf numFmtId="0" fontId="12" fillId="0" borderId="62" xfId="0" applyFont="1" applyFill="1" applyBorder="1" applyAlignment="1">
      <alignment horizontal="center" vertical="center"/>
    </xf>
    <xf numFmtId="0" fontId="12" fillId="0" borderId="68" xfId="0" applyFont="1" applyFill="1" applyBorder="1" applyAlignment="1">
      <alignment horizontal="center" vertical="center"/>
    </xf>
    <xf numFmtId="0" fontId="12" fillId="0" borderId="69" xfId="0" applyFont="1" applyFill="1" applyBorder="1" applyAlignment="1">
      <alignment horizontal="center" vertical="center"/>
    </xf>
    <xf numFmtId="0" fontId="12" fillId="3" borderId="55" xfId="0" applyFont="1" applyFill="1" applyBorder="1" applyAlignment="1">
      <alignment horizontal="left"/>
    </xf>
    <xf numFmtId="0" fontId="12" fillId="3" borderId="64" xfId="0" applyFont="1" applyFill="1" applyBorder="1" applyAlignment="1">
      <alignment horizontal="left"/>
    </xf>
    <xf numFmtId="0" fontId="12" fillId="3" borderId="56" xfId="0" applyFont="1" applyFill="1" applyBorder="1" applyAlignment="1">
      <alignment horizontal="left"/>
    </xf>
    <xf numFmtId="0" fontId="12" fillId="3" borderId="23" xfId="0" applyFont="1" applyFill="1" applyBorder="1" applyAlignment="1">
      <alignment horizontal="left"/>
    </xf>
    <xf numFmtId="0" fontId="12" fillId="3" borderId="63" xfId="0" applyFont="1" applyFill="1" applyBorder="1" applyAlignment="1">
      <alignment horizontal="left"/>
    </xf>
  </cellXfs>
  <cellStyles count="7">
    <cellStyle name="Bom" xfId="6" builtinId="26"/>
    <cellStyle name="Moeda" xfId="1" builtinId="4"/>
    <cellStyle name="Normal" xfId="0" builtinId="0"/>
    <cellStyle name="Normal 2" xfId="2"/>
    <cellStyle name="Normal_FICHA DE VERIFICAÇÃO PRELIMINAR - Plano R" xfId="3"/>
    <cellStyle name="Normal_ORÇAMENTO-HAB" xfId="5"/>
    <cellStyle name="Normal_Plan1" xfId="4"/>
  </cellStyles>
  <dxfs count="11">
    <dxf>
      <font>
        <b/>
        <i val="0"/>
        <color theme="1"/>
      </font>
      <fill>
        <patternFill>
          <bgColor theme="0" tint="-0.1499679555650502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0"/>
      </font>
      <fill>
        <patternFill patternType="none">
          <bgColor indexed="65"/>
        </patternFill>
      </fill>
    </dxf>
    <dxf>
      <font>
        <condense val="0"/>
        <extend val="0"/>
        <color indexed="17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1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</font>
      <fill>
        <patternFill>
          <bgColor theme="0" tint="-0.14996795556505021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b/>
        <i val="0"/>
      </font>
      <fill>
        <patternFill>
          <bgColor theme="0" tint="-0.14996795556505021"/>
        </patternFill>
      </fill>
    </dxf>
    <dxf>
      <font>
        <condense val="0"/>
        <extend val="0"/>
        <color indexed="17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1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105943</xdr:colOff>
      <xdr:row>0</xdr:row>
      <xdr:rowOff>205781</xdr:rowOff>
    </xdr:from>
    <xdr:to>
      <xdr:col>2</xdr:col>
      <xdr:colOff>392626</xdr:colOff>
      <xdr:row>0</xdr:row>
      <xdr:rowOff>1075766</xdr:rowOff>
    </xdr:to>
    <xdr:pic>
      <xdr:nvPicPr>
        <xdr:cNvPr id="3" name="Picture 1" descr="J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943" y="205781"/>
          <a:ext cx="3713815" cy="8699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123824</xdr:colOff>
      <xdr:row>0</xdr:row>
      <xdr:rowOff>246290</xdr:rowOff>
    </xdr:from>
    <xdr:to>
      <xdr:col>1</xdr:col>
      <xdr:colOff>1143000</xdr:colOff>
      <xdr:row>0</xdr:row>
      <xdr:rowOff>247872</xdr:rowOff>
    </xdr:to>
    <xdr:pic>
      <xdr:nvPicPr>
        <xdr:cNvPr id="4" name="Picture 1" descr="J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4" y="246290"/>
          <a:ext cx="4010026" cy="9636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123824</xdr:colOff>
      <xdr:row>0</xdr:row>
      <xdr:rowOff>66996</xdr:rowOff>
    </xdr:from>
    <xdr:to>
      <xdr:col>3</xdr:col>
      <xdr:colOff>2342031</xdr:colOff>
      <xdr:row>0</xdr:row>
      <xdr:rowOff>863372</xdr:rowOff>
    </xdr:to>
    <xdr:pic>
      <xdr:nvPicPr>
        <xdr:cNvPr id="3" name="Picture 1" descr="J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4" y="66996"/>
          <a:ext cx="3988736" cy="7963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261938</xdr:colOff>
      <xdr:row>0</xdr:row>
      <xdr:rowOff>122238</xdr:rowOff>
    </xdr:from>
    <xdr:to>
      <xdr:col>2</xdr:col>
      <xdr:colOff>3293937</xdr:colOff>
      <xdr:row>0</xdr:row>
      <xdr:rowOff>847720</xdr:rowOff>
    </xdr:to>
    <xdr:pic>
      <xdr:nvPicPr>
        <xdr:cNvPr id="7" name="Picture 1" descr="J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8" y="122238"/>
          <a:ext cx="4007878" cy="7254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123824</xdr:colOff>
      <xdr:row>0</xdr:row>
      <xdr:rowOff>246290</xdr:rowOff>
    </xdr:from>
    <xdr:to>
      <xdr:col>3</xdr:col>
      <xdr:colOff>114300</xdr:colOff>
      <xdr:row>0</xdr:row>
      <xdr:rowOff>247872</xdr:rowOff>
    </xdr:to>
    <xdr:pic>
      <xdr:nvPicPr>
        <xdr:cNvPr id="3" name="Picture 1" descr="J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4" y="246290"/>
          <a:ext cx="3583306" cy="15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163286</xdr:colOff>
      <xdr:row>0</xdr:row>
      <xdr:rowOff>95252</xdr:rowOff>
    </xdr:from>
    <xdr:to>
      <xdr:col>3</xdr:col>
      <xdr:colOff>664831</xdr:colOff>
      <xdr:row>0</xdr:row>
      <xdr:rowOff>820734</xdr:rowOff>
    </xdr:to>
    <xdr:pic>
      <xdr:nvPicPr>
        <xdr:cNvPr id="4" name="Picture 1" descr="J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286" y="95252"/>
          <a:ext cx="3979871" cy="7254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F-04%20(Pedro)/Cleyton/02-%20QUARTEL%20DE%20BOMBEIROS%20SANTO%20AMARO/Or&#231;amento%20-%20Quart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JF-04%20(Pedro)/Cleyton/02-%20QUARTEL%20DE%20BOMBEIROS%20SANTO%20AMARO/02-%20Quantitativo/Or&#231;amento%20Final%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JF-04%20(Pedro)/Amanda/PROJETOS/07%20-%20Quartel%20Bombeiros%20Palho&#231;a/QUANTITATIVO/Or&#231;amento%20-%20Quarte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JF-04%20(Pedro)/Elo&#237;sa/11%20-%20CBM%20PALHO&#199;A/QUANT/Or&#231;amento%20PCI%20-%20Quart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I"/>
      <sheetName val="PO"/>
      <sheetName val="CFF"/>
      <sheetName val="Gestão de Orçamentos "/>
    </sheetNames>
    <sheetDataSet>
      <sheetData sheetId="0">
        <row r="25">
          <cell r="F25">
            <v>0.27079999999999999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I"/>
      <sheetName val="PO"/>
      <sheetName val="CFF"/>
      <sheetName val="Gestão de Orçamentos "/>
    </sheetNames>
    <sheetDataSet>
      <sheetData sheetId="0">
        <row r="25">
          <cell r="F25">
            <v>0.27079999999999999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I"/>
      <sheetName val="PO"/>
      <sheetName val="Plan2"/>
      <sheetName val="CFF"/>
      <sheetName val="Gestão de Orçamentos "/>
      <sheetName val="Plan1"/>
    </sheetNames>
    <sheetDataSet>
      <sheetData sheetId="0">
        <row r="25">
          <cell r="F25">
            <v>0.27079999999999999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I"/>
      <sheetName val="PO"/>
      <sheetName val="CFF"/>
      <sheetName val="Gestão de Orçamentos "/>
      <sheetName val="Plan1"/>
    </sheetNames>
    <sheetDataSet>
      <sheetData sheetId="0">
        <row r="25">
          <cell r="F25">
            <v>0.27079999999999999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serralheriadotrevo@gmail.com" TargetMode="External"/><Relationship Id="rId13" Type="http://schemas.openxmlformats.org/officeDocument/2006/relationships/hyperlink" Target="mailto:barreiros@stecanela.com.br" TargetMode="External"/><Relationship Id="rId18" Type="http://schemas.openxmlformats.org/officeDocument/2006/relationships/printerSettings" Target="../printerSettings/printerSettings4.bin"/><Relationship Id="rId3" Type="http://schemas.openxmlformats.org/officeDocument/2006/relationships/hyperlink" Target="mailto:serralheria_barreiros@hotmail.com" TargetMode="External"/><Relationship Id="rId7" Type="http://schemas.openxmlformats.org/officeDocument/2006/relationships/hyperlink" Target="mailto:comercial@multicontainer.com.br" TargetMode="External"/><Relationship Id="rId12" Type="http://schemas.openxmlformats.org/officeDocument/2006/relationships/hyperlink" Target="mailto:vendas4@pedrabrancamateriais.com.br" TargetMode="External"/><Relationship Id="rId17" Type="http://schemas.openxmlformats.org/officeDocument/2006/relationships/hyperlink" Target="mailto:vendas@cassol.com.br" TargetMode="External"/><Relationship Id="rId2" Type="http://schemas.openxmlformats.org/officeDocument/2006/relationships/hyperlink" Target="mailto:santana.vidro@hotmail.com" TargetMode="External"/><Relationship Id="rId16" Type="http://schemas.openxmlformats.org/officeDocument/2006/relationships/hyperlink" Target="mailto:vendas4@pedrabrancamateriais.com.br" TargetMode="External"/><Relationship Id="rId1" Type="http://schemas.openxmlformats.org/officeDocument/2006/relationships/hyperlink" Target="mailto:contato@fensterdobrasil.com.br" TargetMode="External"/><Relationship Id="rId6" Type="http://schemas.openxmlformats.org/officeDocument/2006/relationships/hyperlink" Target="mailto:orbital.aluminio@hotmail.com" TargetMode="External"/><Relationship Id="rId11" Type="http://schemas.openxmlformats.org/officeDocument/2006/relationships/hyperlink" Target="mailto:barreiros@stecanela.com.br" TargetMode="External"/><Relationship Id="rId5" Type="http://schemas.openxmlformats.org/officeDocument/2006/relationships/hyperlink" Target="mailto:contato@metalpriss.com.br" TargetMode="External"/><Relationship Id="rId15" Type="http://schemas.openxmlformats.org/officeDocument/2006/relationships/hyperlink" Target="mailto:barreiros@stecanela.com.br" TargetMode="External"/><Relationship Id="rId10" Type="http://schemas.openxmlformats.org/officeDocument/2006/relationships/hyperlink" Target="mailto:vendas4@pedrabrancamateriais.com.br" TargetMode="External"/><Relationship Id="rId19" Type="http://schemas.openxmlformats.org/officeDocument/2006/relationships/drawing" Target="../drawings/drawing4.xml"/><Relationship Id="rId4" Type="http://schemas.openxmlformats.org/officeDocument/2006/relationships/hyperlink" Target="mailto:contato6@itajaicontainers.com.br" TargetMode="External"/><Relationship Id="rId9" Type="http://schemas.openxmlformats.org/officeDocument/2006/relationships/hyperlink" Target="mailto:barreiros@stecanela.com.br" TargetMode="External"/><Relationship Id="rId14" Type="http://schemas.openxmlformats.org/officeDocument/2006/relationships/hyperlink" Target="mailto:vendas4@pedrabrancamateriais.com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view="pageBreakPreview" topLeftCell="A4" zoomScale="60" zoomScaleNormal="85" workbookViewId="0">
      <selection activeCell="A31" sqref="A31:H31"/>
    </sheetView>
  </sheetViews>
  <sheetFormatPr defaultColWidth="9.140625" defaultRowHeight="14.25" x14ac:dyDescent="0.2"/>
  <cols>
    <col min="1" max="1" width="25.7109375" style="15" customWidth="1"/>
    <col min="2" max="2" width="25.5703125" style="15" customWidth="1"/>
    <col min="3" max="3" width="12.5703125" style="15" bestFit="1" customWidth="1"/>
    <col min="4" max="4" width="15.140625" style="15" bestFit="1" customWidth="1"/>
    <col min="5" max="6" width="12.5703125" style="15" bestFit="1" customWidth="1"/>
    <col min="7" max="7" width="9.42578125" style="15" bestFit="1" customWidth="1"/>
    <col min="8" max="8" width="13" style="15" customWidth="1"/>
    <col min="9" max="16384" width="9.140625" style="3"/>
  </cols>
  <sheetData>
    <row r="1" spans="1:8" ht="108" customHeight="1" x14ac:dyDescent="0.2">
      <c r="A1" s="244" t="s">
        <v>296</v>
      </c>
      <c r="B1" s="245"/>
      <c r="C1" s="245"/>
      <c r="D1" s="245"/>
      <c r="E1" s="245"/>
      <c r="F1" s="245"/>
      <c r="G1" s="245"/>
      <c r="H1" s="246"/>
    </row>
    <row r="2" spans="1:8" x14ac:dyDescent="0.2">
      <c r="A2" s="262" t="s">
        <v>201</v>
      </c>
      <c r="B2" s="263"/>
      <c r="C2" s="263"/>
      <c r="D2" s="263"/>
      <c r="E2" s="263"/>
      <c r="F2" s="263"/>
      <c r="G2" s="263"/>
      <c r="H2" s="264"/>
    </row>
    <row r="3" spans="1:8" ht="13.9" x14ac:dyDescent="0.25">
      <c r="A3" s="262" t="s">
        <v>200</v>
      </c>
      <c r="B3" s="263"/>
      <c r="C3" s="263"/>
      <c r="D3" s="263"/>
      <c r="E3" s="263"/>
      <c r="F3" s="263"/>
      <c r="G3" s="263"/>
      <c r="H3" s="263"/>
    </row>
    <row r="4" spans="1:8" ht="13.9" x14ac:dyDescent="0.25">
      <c r="A4" s="262" t="s">
        <v>2</v>
      </c>
      <c r="B4" s="263"/>
      <c r="C4" s="263"/>
      <c r="D4" s="263"/>
      <c r="E4" s="263"/>
      <c r="F4" s="263"/>
      <c r="G4" s="263"/>
      <c r="H4" s="263"/>
    </row>
    <row r="5" spans="1:8" ht="14.45" thickBot="1" x14ac:dyDescent="0.3">
      <c r="A5" s="262" t="s">
        <v>3</v>
      </c>
      <c r="B5" s="263"/>
      <c r="C5" s="263"/>
      <c r="D5" s="263"/>
      <c r="E5" s="263"/>
      <c r="F5" s="263"/>
      <c r="G5" s="263"/>
      <c r="H5" s="263"/>
    </row>
    <row r="6" spans="1:8" ht="15.75" thickBot="1" x14ac:dyDescent="0.25">
      <c r="A6" s="247" t="s">
        <v>45</v>
      </c>
      <c r="B6" s="248"/>
      <c r="C6" s="248"/>
      <c r="D6" s="248"/>
      <c r="E6" s="248"/>
      <c r="F6" s="248"/>
      <c r="G6" s="248"/>
      <c r="H6" s="249"/>
    </row>
    <row r="7" spans="1:8" ht="13.9" x14ac:dyDescent="0.25">
      <c r="A7" s="265"/>
      <c r="B7" s="265"/>
      <c r="C7" s="265"/>
      <c r="D7" s="265"/>
      <c r="E7" s="265"/>
      <c r="F7" s="265"/>
      <c r="G7" s="265"/>
      <c r="H7" s="265"/>
    </row>
    <row r="8" spans="1:8" ht="15" x14ac:dyDescent="0.2">
      <c r="A8" s="250" t="s">
        <v>22</v>
      </c>
      <c r="B8" s="251"/>
      <c r="C8" s="251"/>
      <c r="D8" s="251"/>
      <c r="E8" s="251"/>
      <c r="F8" s="252"/>
      <c r="G8" s="253" t="s">
        <v>23</v>
      </c>
      <c r="H8" s="254"/>
    </row>
    <row r="9" spans="1:8" ht="15" x14ac:dyDescent="0.2">
      <c r="A9" s="257" t="s">
        <v>58</v>
      </c>
      <c r="B9" s="258"/>
      <c r="C9" s="258"/>
      <c r="D9" s="258"/>
      <c r="E9" s="258"/>
      <c r="F9" s="259"/>
      <c r="G9" s="260" t="s">
        <v>92</v>
      </c>
      <c r="H9" s="261"/>
    </row>
    <row r="10" spans="1:8" ht="13.9" x14ac:dyDescent="0.25">
      <c r="A10" s="266"/>
      <c r="B10" s="266"/>
      <c r="C10" s="266"/>
      <c r="D10" s="266"/>
      <c r="E10" s="266"/>
      <c r="F10" s="266"/>
      <c r="G10" s="266"/>
      <c r="H10" s="266"/>
    </row>
    <row r="11" spans="1:8" x14ac:dyDescent="0.2">
      <c r="A11" s="255" t="s">
        <v>24</v>
      </c>
      <c r="B11" s="255"/>
      <c r="C11" s="255"/>
      <c r="D11" s="255"/>
      <c r="E11" s="255"/>
      <c r="F11" s="255"/>
      <c r="G11" s="256">
        <v>1</v>
      </c>
      <c r="H11" s="256"/>
    </row>
    <row r="12" spans="1:8" x14ac:dyDescent="0.2">
      <c r="A12" s="267" t="s">
        <v>25</v>
      </c>
      <c r="B12" s="267"/>
      <c r="C12" s="267"/>
      <c r="D12" s="267"/>
      <c r="E12" s="267"/>
      <c r="F12" s="267"/>
      <c r="G12" s="256">
        <v>0.03</v>
      </c>
      <c r="H12" s="256"/>
    </row>
    <row r="13" spans="1:8" ht="14.45" thickBot="1" x14ac:dyDescent="0.3">
      <c r="A13" s="276"/>
      <c r="B13" s="276"/>
      <c r="C13" s="276"/>
      <c r="D13" s="276"/>
      <c r="E13" s="276"/>
      <c r="F13" s="276"/>
      <c r="G13" s="276"/>
      <c r="H13" s="276"/>
    </row>
    <row r="14" spans="1:8" ht="15" x14ac:dyDescent="0.25">
      <c r="A14" s="268" t="s">
        <v>26</v>
      </c>
      <c r="B14" s="269"/>
      <c r="C14" s="269" t="s">
        <v>27</v>
      </c>
      <c r="D14" s="272" t="s">
        <v>28</v>
      </c>
      <c r="E14" s="272" t="s">
        <v>1</v>
      </c>
      <c r="F14" s="274" t="s">
        <v>29</v>
      </c>
      <c r="G14" s="274"/>
      <c r="H14" s="275"/>
    </row>
    <row r="15" spans="1:8" ht="15" x14ac:dyDescent="0.2">
      <c r="A15" s="270"/>
      <c r="B15" s="271"/>
      <c r="C15" s="271"/>
      <c r="D15" s="273"/>
      <c r="E15" s="273"/>
      <c r="F15" s="184" t="s">
        <v>30</v>
      </c>
      <c r="G15" s="184" t="s">
        <v>31</v>
      </c>
      <c r="H15" s="185" t="s">
        <v>32</v>
      </c>
    </row>
    <row r="16" spans="1:8" ht="30" customHeight="1" x14ac:dyDescent="0.2">
      <c r="A16" s="277" t="s">
        <v>46</v>
      </c>
      <c r="B16" s="278"/>
      <c r="C16" s="186" t="s">
        <v>47</v>
      </c>
      <c r="D16" s="187">
        <v>0.03</v>
      </c>
      <c r="E16" s="188" t="s">
        <v>33</v>
      </c>
      <c r="F16" s="189">
        <v>0.03</v>
      </c>
      <c r="G16" s="189">
        <v>0.04</v>
      </c>
      <c r="H16" s="190">
        <v>5.5E-2</v>
      </c>
    </row>
    <row r="17" spans="1:8" ht="30" customHeight="1" x14ac:dyDescent="0.25">
      <c r="A17" s="277" t="s">
        <v>48</v>
      </c>
      <c r="B17" s="278"/>
      <c r="C17" s="186" t="s">
        <v>53</v>
      </c>
      <c r="D17" s="187">
        <v>6.4999999999999997E-3</v>
      </c>
      <c r="E17" s="188" t="s">
        <v>33</v>
      </c>
      <c r="F17" s="189">
        <v>8.0000000000000002E-3</v>
      </c>
      <c r="G17" s="189">
        <v>8.0000000000000002E-3</v>
      </c>
      <c r="H17" s="190">
        <v>0.01</v>
      </c>
    </row>
    <row r="18" spans="1:8" ht="30" customHeight="1" x14ac:dyDescent="0.25">
      <c r="A18" s="277" t="s">
        <v>49</v>
      </c>
      <c r="B18" s="278"/>
      <c r="C18" s="186" t="s">
        <v>54</v>
      </c>
      <c r="D18" s="187">
        <v>1.15E-2</v>
      </c>
      <c r="E18" s="188" t="s">
        <v>33</v>
      </c>
      <c r="F18" s="189">
        <v>9.7000000000000003E-3</v>
      </c>
      <c r="G18" s="189">
        <v>1.2699999999999999E-2</v>
      </c>
      <c r="H18" s="190">
        <v>1.2699999999999999E-2</v>
      </c>
    </row>
    <row r="19" spans="1:8" ht="30" customHeight="1" x14ac:dyDescent="0.2">
      <c r="A19" s="277" t="s">
        <v>50</v>
      </c>
      <c r="B19" s="278"/>
      <c r="C19" s="186" t="s">
        <v>55</v>
      </c>
      <c r="D19" s="187">
        <v>6.8999999999999999E-3</v>
      </c>
      <c r="E19" s="188" t="s">
        <v>33</v>
      </c>
      <c r="F19" s="189">
        <v>5.8999999999999999E-3</v>
      </c>
      <c r="G19" s="189">
        <v>1.23E-2</v>
      </c>
      <c r="H19" s="190">
        <v>1.3899999999999999E-2</v>
      </c>
    </row>
    <row r="20" spans="1:8" ht="30" customHeight="1" x14ac:dyDescent="0.2">
      <c r="A20" s="277" t="s">
        <v>51</v>
      </c>
      <c r="B20" s="278"/>
      <c r="C20" s="186" t="s">
        <v>56</v>
      </c>
      <c r="D20" s="187">
        <v>7.0000000000000007E-2</v>
      </c>
      <c r="E20" s="188" t="s">
        <v>33</v>
      </c>
      <c r="F20" s="189">
        <v>6.1600000000000002E-2</v>
      </c>
      <c r="G20" s="189">
        <v>7.3999999999999996E-2</v>
      </c>
      <c r="H20" s="190">
        <v>8.9599999999999999E-2</v>
      </c>
    </row>
    <row r="21" spans="1:8" ht="30" customHeight="1" x14ac:dyDescent="0.2">
      <c r="A21" s="302" t="s">
        <v>52</v>
      </c>
      <c r="B21" s="303"/>
      <c r="C21" s="186" t="s">
        <v>34</v>
      </c>
      <c r="D21" s="187">
        <v>3.6499999999999998E-2</v>
      </c>
      <c r="E21" s="188" t="s">
        <v>33</v>
      </c>
      <c r="F21" s="189">
        <v>3.6499999999999998E-2</v>
      </c>
      <c r="G21" s="189">
        <v>3.6499999999999998E-2</v>
      </c>
      <c r="H21" s="190">
        <v>3.6499999999999998E-2</v>
      </c>
    </row>
    <row r="22" spans="1:8" ht="30" customHeight="1" x14ac:dyDescent="0.2">
      <c r="A22" s="277" t="s">
        <v>35</v>
      </c>
      <c r="B22" s="278"/>
      <c r="C22" s="186" t="s">
        <v>36</v>
      </c>
      <c r="D22" s="189">
        <f>IF($G$9&lt;&gt;$A$45,G12*G11,0)</f>
        <v>0.03</v>
      </c>
      <c r="E22" s="188" t="s">
        <v>33</v>
      </c>
      <c r="F22" s="189">
        <v>0</v>
      </c>
      <c r="G22" s="189">
        <v>2.5000000000000001E-2</v>
      </c>
      <c r="H22" s="190">
        <v>0.05</v>
      </c>
    </row>
    <row r="23" spans="1:8" ht="45" customHeight="1" x14ac:dyDescent="0.2">
      <c r="A23" s="277" t="s">
        <v>37</v>
      </c>
      <c r="B23" s="278"/>
      <c r="C23" s="186" t="s">
        <v>38</v>
      </c>
      <c r="D23" s="189">
        <f>IF(AND($G$9&lt;&gt;$A$45,G9="Sim"),4.5%,0%)</f>
        <v>4.4999999999999998E-2</v>
      </c>
      <c r="E23" s="188" t="str">
        <f>IF(AND(D23&gt;=F23, D23&lt;=H23), "OK", "Não OK")</f>
        <v>OK</v>
      </c>
      <c r="F23" s="191">
        <v>0</v>
      </c>
      <c r="G23" s="191">
        <v>4.4999999999999998E-2</v>
      </c>
      <c r="H23" s="192">
        <v>4.4999999999999998E-2</v>
      </c>
    </row>
    <row r="24" spans="1:8" ht="30" customHeight="1" x14ac:dyDescent="0.2">
      <c r="A24" s="277" t="s">
        <v>39</v>
      </c>
      <c r="B24" s="278"/>
      <c r="C24" s="193" t="s">
        <v>40</v>
      </c>
      <c r="D24" s="189">
        <f>IF($G$9=$A$45,0,ROUND((((1+D16+D17+D18)*(1+D19)*(1+D20)/(1-(D21+D22)))-1),4))</f>
        <v>0.20949999999999999</v>
      </c>
      <c r="E24" s="194" t="str">
        <f>IF(OR($G$9=$A$46,$G$9=$A$45,AND(D24&gt;=F24, D24&lt;=H24)), "OK", "FORA DO INTERVALO")</f>
        <v>OK</v>
      </c>
      <c r="F24" s="189">
        <v>0.2034</v>
      </c>
      <c r="G24" s="189">
        <v>0.22120000000000001</v>
      </c>
      <c r="H24" s="190">
        <v>0.25</v>
      </c>
    </row>
    <row r="25" spans="1:8" ht="30" customHeight="1" thickBot="1" x14ac:dyDescent="0.25">
      <c r="A25" s="292" t="s">
        <v>41</v>
      </c>
      <c r="B25" s="293"/>
      <c r="C25" s="195" t="s">
        <v>42</v>
      </c>
      <c r="D25" s="196">
        <f>ROUND((((1+D16+D17+D18)*(1+D19)*(1+D20)/(1-(D21+D22+D23)))-1),4)</f>
        <v>0.27079999999999999</v>
      </c>
      <c r="E25" s="197" t="str">
        <f>IF(G9&lt;&gt;"Sim","",E24)</f>
        <v>OK</v>
      </c>
      <c r="F25" s="289"/>
      <c r="G25" s="289"/>
      <c r="H25" s="290"/>
    </row>
    <row r="26" spans="1:8" x14ac:dyDescent="0.2">
      <c r="A26" s="296"/>
      <c r="B26" s="296"/>
      <c r="C26" s="296"/>
      <c r="D26" s="296"/>
      <c r="E26" s="296"/>
      <c r="F26" s="296"/>
      <c r="G26" s="296"/>
      <c r="H26" s="296"/>
    </row>
    <row r="27" spans="1:8" x14ac:dyDescent="0.2">
      <c r="A27" s="291" t="s">
        <v>43</v>
      </c>
      <c r="B27" s="291"/>
      <c r="C27" s="291"/>
      <c r="D27" s="291"/>
      <c r="E27" s="291"/>
      <c r="F27" s="291"/>
      <c r="G27" s="291"/>
      <c r="H27" s="291"/>
    </row>
    <row r="28" spans="1:8" x14ac:dyDescent="0.2">
      <c r="A28" s="198"/>
      <c r="B28" s="294" t="s">
        <v>85</v>
      </c>
      <c r="C28" s="282" t="s">
        <v>87</v>
      </c>
      <c r="D28" s="282"/>
      <c r="E28" s="282"/>
      <c r="F28" s="283" t="s">
        <v>44</v>
      </c>
      <c r="G28" s="198"/>
      <c r="H28" s="198"/>
    </row>
    <row r="29" spans="1:8" x14ac:dyDescent="0.2">
      <c r="A29" s="198"/>
      <c r="B29" s="294"/>
      <c r="C29" s="285" t="s">
        <v>86</v>
      </c>
      <c r="D29" s="285"/>
      <c r="E29" s="285"/>
      <c r="F29" s="284"/>
      <c r="G29" s="198"/>
      <c r="H29" s="198"/>
    </row>
    <row r="30" spans="1:8" x14ac:dyDescent="0.2">
      <c r="A30" s="297"/>
      <c r="B30" s="297"/>
      <c r="C30" s="297"/>
      <c r="D30" s="297"/>
      <c r="E30" s="297"/>
      <c r="F30" s="297"/>
      <c r="G30" s="297"/>
      <c r="H30" s="297"/>
    </row>
    <row r="31" spans="1:8" ht="45" customHeight="1" x14ac:dyDescent="0.2">
      <c r="A31" s="286" t="s">
        <v>57</v>
      </c>
      <c r="B31" s="287"/>
      <c r="C31" s="287"/>
      <c r="D31" s="287"/>
      <c r="E31" s="287"/>
      <c r="F31" s="287"/>
      <c r="G31" s="287"/>
      <c r="H31" s="288"/>
    </row>
    <row r="32" spans="1:8" x14ac:dyDescent="0.2">
      <c r="A32" s="298"/>
      <c r="B32" s="298"/>
      <c r="C32" s="298"/>
      <c r="D32" s="298"/>
      <c r="E32" s="298"/>
      <c r="F32" s="298"/>
      <c r="G32" s="298"/>
      <c r="H32" s="298"/>
    </row>
    <row r="33" spans="1:8" ht="45" customHeight="1" x14ac:dyDescent="0.2">
      <c r="A33" s="281" t="s">
        <v>59</v>
      </c>
      <c r="B33" s="281"/>
      <c r="C33" s="281"/>
      <c r="D33" s="281"/>
      <c r="E33" s="281"/>
      <c r="F33" s="281"/>
      <c r="G33" s="281"/>
      <c r="H33" s="281"/>
    </row>
    <row r="34" spans="1:8" x14ac:dyDescent="0.2">
      <c r="A34" s="299"/>
      <c r="B34" s="299"/>
      <c r="C34" s="299"/>
      <c r="D34" s="299"/>
      <c r="E34" s="299"/>
      <c r="F34" s="299"/>
      <c r="G34" s="299"/>
      <c r="H34" s="299"/>
    </row>
    <row r="35" spans="1:8" x14ac:dyDescent="0.2">
      <c r="A35" s="300"/>
      <c r="B35" s="300"/>
      <c r="C35" s="300"/>
      <c r="D35" s="300"/>
      <c r="E35" s="300"/>
      <c r="F35" s="300"/>
      <c r="G35" s="300"/>
      <c r="H35" s="300"/>
    </row>
    <row r="36" spans="1:8" x14ac:dyDescent="0.2">
      <c r="A36" s="280"/>
      <c r="B36" s="280"/>
      <c r="C36" s="280"/>
      <c r="D36" s="280"/>
      <c r="E36" s="280"/>
      <c r="F36" s="280"/>
      <c r="G36" s="280"/>
      <c r="H36" s="280"/>
    </row>
    <row r="37" spans="1:8" ht="15.75" x14ac:dyDescent="0.2">
      <c r="A37" s="280"/>
      <c r="B37" s="295" t="s">
        <v>202</v>
      </c>
      <c r="C37" s="295"/>
      <c r="D37" s="295"/>
      <c r="E37" s="295"/>
      <c r="F37" s="301"/>
      <c r="G37" s="301"/>
      <c r="H37" s="301"/>
    </row>
    <row r="38" spans="1:8" x14ac:dyDescent="0.2">
      <c r="A38" s="280"/>
      <c r="B38" s="279" t="s">
        <v>95</v>
      </c>
      <c r="C38" s="279"/>
      <c r="D38" s="279"/>
      <c r="E38" s="279"/>
      <c r="F38" s="301"/>
      <c r="G38" s="301"/>
      <c r="H38" s="301"/>
    </row>
    <row r="39" spans="1:8" x14ac:dyDescent="0.2">
      <c r="A39" s="280"/>
      <c r="B39" s="280"/>
      <c r="C39" s="280"/>
      <c r="D39" s="280"/>
      <c r="E39" s="280"/>
      <c r="F39" s="280"/>
      <c r="G39" s="280"/>
      <c r="H39" s="280"/>
    </row>
  </sheetData>
  <mergeCells count="49">
    <mergeCell ref="A17:B17"/>
    <mergeCell ref="A16:B16"/>
    <mergeCell ref="B28:B29"/>
    <mergeCell ref="B37:E37"/>
    <mergeCell ref="A26:H26"/>
    <mergeCell ref="A30:H30"/>
    <mergeCell ref="A32:H32"/>
    <mergeCell ref="A34:H36"/>
    <mergeCell ref="F37:H38"/>
    <mergeCell ref="A37:A38"/>
    <mergeCell ref="A22:B22"/>
    <mergeCell ref="A21:B21"/>
    <mergeCell ref="A20:B20"/>
    <mergeCell ref="A19:B19"/>
    <mergeCell ref="A18:B18"/>
    <mergeCell ref="A24:B24"/>
    <mergeCell ref="A23:B23"/>
    <mergeCell ref="B38:E38"/>
    <mergeCell ref="A39:H39"/>
    <mergeCell ref="A33:H33"/>
    <mergeCell ref="C28:E28"/>
    <mergeCell ref="F28:F29"/>
    <mergeCell ref="C29:E29"/>
    <mergeCell ref="A31:H31"/>
    <mergeCell ref="F25:H25"/>
    <mergeCell ref="A27:H27"/>
    <mergeCell ref="A25:B25"/>
    <mergeCell ref="A12:F12"/>
    <mergeCell ref="G12:H12"/>
    <mergeCell ref="A14:B15"/>
    <mergeCell ref="C14:C15"/>
    <mergeCell ref="D14:D15"/>
    <mergeCell ref="E14:E15"/>
    <mergeCell ref="F14:H14"/>
    <mergeCell ref="A13:H13"/>
    <mergeCell ref="A1:H1"/>
    <mergeCell ref="A6:H6"/>
    <mergeCell ref="A8:F8"/>
    <mergeCell ref="G8:H8"/>
    <mergeCell ref="A11:F11"/>
    <mergeCell ref="G11:H11"/>
    <mergeCell ref="A9:F9"/>
    <mergeCell ref="G9:H9"/>
    <mergeCell ref="A2:H2"/>
    <mergeCell ref="A3:H3"/>
    <mergeCell ref="A4:H4"/>
    <mergeCell ref="A5:H5"/>
    <mergeCell ref="A7:H7"/>
    <mergeCell ref="A10:H10"/>
  </mergeCells>
  <conditionalFormatting sqref="E16:E22">
    <cfRule type="cellIs" dxfId="10" priority="18" stopIfTrue="1" operator="equal">
      <formula>"NÃO OK"</formula>
    </cfRule>
    <cfRule type="cellIs" dxfId="9" priority="19" stopIfTrue="1" operator="equal">
      <formula>"OK"</formula>
    </cfRule>
  </conditionalFormatting>
  <conditionalFormatting sqref="A24:C24">
    <cfRule type="expression" dxfId="8" priority="17" stopIfTrue="1">
      <formula>#REF!="Não"</formula>
    </cfRule>
  </conditionalFormatting>
  <conditionalFormatting sqref="G11:H12 A12:F12">
    <cfRule type="expression" dxfId="7" priority="12" stopIfTrue="1">
      <formula>#REF!=#REF!</formula>
    </cfRule>
  </conditionalFormatting>
  <conditionalFormatting sqref="A11:F11">
    <cfRule type="expression" dxfId="6" priority="20" stopIfTrue="1">
      <formula>#REF!=#REF!</formula>
    </cfRule>
  </conditionalFormatting>
  <conditionalFormatting sqref="F25:H25">
    <cfRule type="expression" dxfId="5" priority="8" stopIfTrue="1">
      <formula>$O$9="sim"</formula>
    </cfRule>
  </conditionalFormatting>
  <conditionalFormatting sqref="D24">
    <cfRule type="expression" dxfId="4" priority="6" stopIfTrue="1">
      <formula>$O$9="Não"</formula>
    </cfRule>
  </conditionalFormatting>
  <conditionalFormatting sqref="E23:E25">
    <cfRule type="expression" dxfId="3" priority="4" stopIfTrue="1">
      <formula>AND(E23&lt;&gt;"OK",E23&lt;&gt;"-",E23&lt;&gt;"")</formula>
    </cfRule>
    <cfRule type="cellIs" dxfId="2" priority="5" stopIfTrue="1" operator="equal">
      <formula>"OK"</formula>
    </cfRule>
  </conditionalFormatting>
  <conditionalFormatting sqref="F16:H24">
    <cfRule type="expression" dxfId="1" priority="25" stopIfTrue="1">
      <formula>$G$9=$A$45</formula>
    </cfRule>
  </conditionalFormatting>
  <conditionalFormatting sqref="A25:D25">
    <cfRule type="expression" dxfId="0" priority="39" stopIfTrue="1">
      <formula>$O$9="sim"</formula>
    </cfRule>
  </conditionalFormatting>
  <dataValidations count="5">
    <dataValidation type="decimal" allowBlank="1" showInputMessage="1" showErrorMessage="1" errorTitle="Erro de valores" error="Digite um valor entre 0% e 100%" sqref="D16:D21">
      <formula1>0</formula1>
      <formula2>1</formula2>
    </dataValidation>
    <dataValidation type="decimal" operator="greaterThanOrEqual" allowBlank="1" showInputMessage="1" showErrorMessage="1" errorTitle="Valor não permitido" error="Digite um percentual entre 0% e 100%." promptTitle="Valores comuns:" prompt="Normalmente entre 2 e 5%." sqref="G12:H12">
      <formula1>0</formula1>
    </dataValidation>
    <dataValidation type="decimal" allowBlank="1" showInputMessage="1" showErrorMessage="1" errorTitle="Valor não permitido" error="Digite um percentual entre 0% e 100%." promptTitle="Valores admissíveis:" prompt="Insira valores entre 0 e 100%." sqref="G11:H11">
      <formula1>0</formula1>
      <formula2>1</formula2>
    </dataValidation>
    <dataValidation type="decimal" allowBlank="1" showInputMessage="1" showErrorMessage="1" errorTitle="Erro de valores" error="Digite um valor maior do que 0." sqref="D22">
      <formula1>0</formula1>
      <formula2>1</formula2>
    </dataValidation>
    <dataValidation operator="greaterThanOrEqual" allowBlank="1" showInputMessage="1" showErrorMessage="1" errorTitle="Erro de valores" error="Digite um valor igual a 0% ou 2%." sqref="D23"/>
  </dataValidations>
  <pageMargins left="0.511811024" right="0.511811024" top="0.78740157499999996" bottom="0.78740157499999996" header="0.31496062000000002" footer="0.31496062000000002"/>
  <pageSetup paperSize="9" scale="67" fitToWidth="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53"/>
  <sheetViews>
    <sheetView tabSelected="1" view="pageBreakPreview" zoomScale="70" zoomScaleNormal="55" zoomScaleSheetLayoutView="70" workbookViewId="0">
      <selection activeCell="A4" sqref="A4:E4"/>
    </sheetView>
  </sheetViews>
  <sheetFormatPr defaultColWidth="9.140625" defaultRowHeight="14.25" x14ac:dyDescent="0.2"/>
  <cols>
    <col min="1" max="1" width="7.5703125" style="3" customWidth="1"/>
    <col min="2" max="2" width="8.28515625" style="3" bestFit="1" customWidth="1"/>
    <col min="3" max="3" width="10.7109375" style="3" bestFit="1" customWidth="1"/>
    <col min="4" max="4" width="108.28515625" style="7" customWidth="1"/>
    <col min="5" max="5" width="11.140625" style="3" bestFit="1" customWidth="1"/>
    <col min="6" max="6" width="19.140625" style="3" bestFit="1" customWidth="1"/>
    <col min="7" max="7" width="17.7109375" style="6" bestFit="1" customWidth="1"/>
    <col min="8" max="8" width="10.140625" style="4" customWidth="1"/>
    <col min="9" max="9" width="23.42578125" style="3" bestFit="1" customWidth="1"/>
    <col min="10" max="10" width="21.140625" style="3" bestFit="1" customWidth="1"/>
    <col min="11" max="11" width="11.7109375" style="24" bestFit="1" customWidth="1"/>
    <col min="12" max="12" width="15.7109375" style="112" bestFit="1" customWidth="1"/>
    <col min="13" max="13" width="14.42578125" style="24" bestFit="1" customWidth="1"/>
    <col min="14" max="28" width="9.140625" style="24"/>
    <col min="29" max="16384" width="9.140625" style="3"/>
  </cols>
  <sheetData>
    <row r="1" spans="1:28" ht="72" customHeight="1" x14ac:dyDescent="0.2">
      <c r="A1" s="323" t="s">
        <v>256</v>
      </c>
      <c r="B1" s="324"/>
      <c r="C1" s="324"/>
      <c r="D1" s="324"/>
      <c r="E1" s="324"/>
      <c r="F1" s="324"/>
      <c r="G1" s="324"/>
      <c r="H1" s="324"/>
      <c r="I1" s="324"/>
      <c r="J1" s="325"/>
      <c r="K1" s="110"/>
      <c r="L1" s="111"/>
      <c r="M1" s="110"/>
    </row>
    <row r="2" spans="1:28" s="13" customFormat="1" x14ac:dyDescent="0.2">
      <c r="A2" s="329" t="s">
        <v>201</v>
      </c>
      <c r="B2" s="330"/>
      <c r="C2" s="330"/>
      <c r="D2" s="330"/>
      <c r="E2" s="330"/>
      <c r="F2" s="8" t="s">
        <v>4</v>
      </c>
      <c r="G2" s="9">
        <v>43608</v>
      </c>
      <c r="H2" s="318"/>
      <c r="I2" s="318"/>
      <c r="J2" s="319"/>
      <c r="K2" s="24"/>
      <c r="L2" s="112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</row>
    <row r="3" spans="1:28" ht="13.9" x14ac:dyDescent="0.25">
      <c r="A3" s="329" t="s">
        <v>200</v>
      </c>
      <c r="B3" s="330"/>
      <c r="C3" s="330"/>
      <c r="D3" s="330"/>
      <c r="E3" s="330"/>
      <c r="F3" s="8" t="s">
        <v>5</v>
      </c>
      <c r="G3" s="34">
        <v>43537</v>
      </c>
      <c r="H3" s="318"/>
      <c r="I3" s="318"/>
      <c r="J3" s="319"/>
    </row>
    <row r="4" spans="1:28" ht="13.9" x14ac:dyDescent="0.25">
      <c r="A4" s="329" t="s">
        <v>2</v>
      </c>
      <c r="B4" s="330"/>
      <c r="C4" s="330"/>
      <c r="D4" s="330"/>
      <c r="E4" s="330"/>
      <c r="F4" s="8" t="s">
        <v>7</v>
      </c>
      <c r="G4" s="207" t="s">
        <v>6</v>
      </c>
      <c r="H4" s="318"/>
      <c r="I4" s="318"/>
      <c r="J4" s="319"/>
      <c r="K4" s="113"/>
    </row>
    <row r="5" spans="1:28" ht="15.75" customHeight="1" thickBot="1" x14ac:dyDescent="0.3">
      <c r="A5" s="329" t="s">
        <v>3</v>
      </c>
      <c r="B5" s="330"/>
      <c r="C5" s="330"/>
      <c r="D5" s="330"/>
      <c r="E5" s="330"/>
      <c r="F5" s="308"/>
      <c r="G5" s="308"/>
      <c r="H5" s="308"/>
      <c r="I5" s="308"/>
      <c r="J5" s="309"/>
      <c r="K5" s="113"/>
    </row>
    <row r="6" spans="1:28" ht="15.75" thickBot="1" x14ac:dyDescent="0.25">
      <c r="A6" s="326" t="s">
        <v>84</v>
      </c>
      <c r="B6" s="327"/>
      <c r="C6" s="327"/>
      <c r="D6" s="327"/>
      <c r="E6" s="327"/>
      <c r="F6" s="327"/>
      <c r="G6" s="327"/>
      <c r="H6" s="327"/>
      <c r="I6" s="327"/>
      <c r="J6" s="328"/>
      <c r="K6" s="113"/>
    </row>
    <row r="7" spans="1:28" ht="14.45" thickBot="1" x14ac:dyDescent="0.3">
      <c r="A7" s="30"/>
      <c r="B7" s="8"/>
      <c r="C7" s="8"/>
      <c r="D7" s="11"/>
      <c r="E7" s="8"/>
      <c r="F7" s="8"/>
      <c r="G7" s="18"/>
      <c r="H7" s="12"/>
      <c r="I7" s="8"/>
      <c r="J7" s="29"/>
      <c r="K7" s="113"/>
    </row>
    <row r="8" spans="1:28" ht="15.75" thickBot="1" x14ac:dyDescent="0.3">
      <c r="A8" s="31" t="s">
        <v>8</v>
      </c>
      <c r="B8" s="19" t="s">
        <v>11</v>
      </c>
      <c r="C8" s="19" t="s">
        <v>10</v>
      </c>
      <c r="D8" s="20" t="s">
        <v>9</v>
      </c>
      <c r="E8" s="19" t="s">
        <v>12</v>
      </c>
      <c r="F8" s="19" t="s">
        <v>0</v>
      </c>
      <c r="G8" s="21" t="s">
        <v>13</v>
      </c>
      <c r="H8" s="22" t="s">
        <v>14</v>
      </c>
      <c r="I8" s="19" t="s">
        <v>16</v>
      </c>
      <c r="J8" s="32" t="s">
        <v>15</v>
      </c>
      <c r="K8" s="25"/>
      <c r="L8" s="111"/>
      <c r="M8" s="110"/>
    </row>
    <row r="9" spans="1:28" s="13" customFormat="1" ht="14.45" thickBot="1" x14ac:dyDescent="0.3">
      <c r="A9" s="320" t="s">
        <v>96</v>
      </c>
      <c r="B9" s="321"/>
      <c r="C9" s="321"/>
      <c r="D9" s="321"/>
      <c r="E9" s="321"/>
      <c r="F9" s="321"/>
      <c r="G9" s="321"/>
      <c r="H9" s="321"/>
      <c r="I9" s="322"/>
      <c r="J9" s="33">
        <f>J10+J13+J15+J21+J27+J29+J33+J73+J106+J110+J114+J119+J128+J132+J135</f>
        <v>362067.56523007993</v>
      </c>
      <c r="K9" s="25"/>
      <c r="L9" s="111"/>
      <c r="M9" s="110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</row>
    <row r="10" spans="1:28" s="10" customFormat="1" ht="15" x14ac:dyDescent="0.25">
      <c r="A10" s="35">
        <v>1</v>
      </c>
      <c r="B10" s="36"/>
      <c r="C10" s="36"/>
      <c r="D10" s="37" t="s">
        <v>90</v>
      </c>
      <c r="E10" s="36"/>
      <c r="F10" s="36"/>
      <c r="G10" s="38"/>
      <c r="H10" s="39"/>
      <c r="I10" s="36"/>
      <c r="J10" s="40">
        <f>SUM(J11:J12)</f>
        <v>10007.264069999997</v>
      </c>
      <c r="K10" s="114"/>
      <c r="L10" s="115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</row>
    <row r="11" spans="1:28" s="10" customFormat="1" x14ac:dyDescent="0.25">
      <c r="A11" s="41" t="s">
        <v>94</v>
      </c>
      <c r="B11" s="42" t="s">
        <v>19</v>
      </c>
      <c r="C11" s="42" t="s">
        <v>257</v>
      </c>
      <c r="D11" s="43" t="s">
        <v>21</v>
      </c>
      <c r="E11" s="44" t="s">
        <v>268</v>
      </c>
      <c r="F11" s="45">
        <v>2.5</v>
      </c>
      <c r="G11" s="238">
        <v>340.71</v>
      </c>
      <c r="H11" s="46">
        <f>BDI!D$25</f>
        <v>0.27079999999999999</v>
      </c>
      <c r="I11" s="45">
        <f>G11*(1+H11)</f>
        <v>432.97426799999994</v>
      </c>
      <c r="J11" s="47">
        <f>I11*F11</f>
        <v>1082.4356699999998</v>
      </c>
      <c r="K11" s="87"/>
      <c r="L11" s="115"/>
      <c r="M11" s="88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</row>
    <row r="12" spans="1:28" s="10" customFormat="1" ht="29.25" thickBot="1" x14ac:dyDescent="0.3">
      <c r="A12" s="49" t="s">
        <v>97</v>
      </c>
      <c r="B12" s="50" t="s">
        <v>19</v>
      </c>
      <c r="C12" s="50">
        <v>93212</v>
      </c>
      <c r="D12" s="51" t="s">
        <v>112</v>
      </c>
      <c r="E12" s="44" t="s">
        <v>268</v>
      </c>
      <c r="F12" s="53">
        <v>10</v>
      </c>
      <c r="G12" s="53">
        <v>702.3</v>
      </c>
      <c r="H12" s="54">
        <f>BDI!D$25</f>
        <v>0.27079999999999999</v>
      </c>
      <c r="I12" s="53">
        <f t="shared" ref="I12" si="0">G12*(1+H12)</f>
        <v>892.4828399999999</v>
      </c>
      <c r="J12" s="55">
        <f t="shared" ref="J12" si="1">I12*F12</f>
        <v>8924.8283999999985</v>
      </c>
      <c r="K12" s="87"/>
      <c r="L12" s="115"/>
      <c r="M12" s="118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</row>
    <row r="13" spans="1:28" s="10" customFormat="1" ht="15" x14ac:dyDescent="0.25">
      <c r="A13" s="35">
        <v>2</v>
      </c>
      <c r="B13" s="36"/>
      <c r="C13" s="36"/>
      <c r="D13" s="37" t="s">
        <v>17</v>
      </c>
      <c r="E13" s="36"/>
      <c r="F13" s="36"/>
      <c r="G13" s="38"/>
      <c r="H13" s="39"/>
      <c r="I13" s="38"/>
      <c r="J13" s="40">
        <f>SUM(J14)</f>
        <v>3186.4420440000004</v>
      </c>
      <c r="K13" s="87"/>
      <c r="L13" s="115"/>
      <c r="M13" s="88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</row>
    <row r="14" spans="1:28" s="10" customFormat="1" ht="29.25" thickBot="1" x14ac:dyDescent="0.3">
      <c r="A14" s="66" t="s">
        <v>18</v>
      </c>
      <c r="B14" s="50" t="s">
        <v>19</v>
      </c>
      <c r="C14" s="52">
        <v>99059</v>
      </c>
      <c r="D14" s="51" t="s">
        <v>426</v>
      </c>
      <c r="E14" s="52" t="s">
        <v>271</v>
      </c>
      <c r="F14" s="52">
        <v>57</v>
      </c>
      <c r="G14" s="239">
        <v>43.99</v>
      </c>
      <c r="H14" s="68">
        <f>BDI!D$25</f>
        <v>0.27079999999999999</v>
      </c>
      <c r="I14" s="53">
        <f t="shared" ref="I14" si="2">G14*(1+H14)</f>
        <v>55.902492000000002</v>
      </c>
      <c r="J14" s="55">
        <f t="shared" ref="J14" si="3">I14*F14</f>
        <v>3186.4420440000004</v>
      </c>
      <c r="K14" s="87"/>
      <c r="L14" s="115"/>
      <c r="M14" s="88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</row>
    <row r="15" spans="1:28" s="10" customFormat="1" ht="15" x14ac:dyDescent="0.25">
      <c r="A15" s="35">
        <v>3</v>
      </c>
      <c r="B15" s="36"/>
      <c r="C15" s="36"/>
      <c r="D15" s="37" t="s">
        <v>20</v>
      </c>
      <c r="E15" s="36"/>
      <c r="F15" s="36"/>
      <c r="G15" s="38"/>
      <c r="H15" s="39"/>
      <c r="I15" s="38"/>
      <c r="J15" s="40">
        <f>SUM(J16:J20)</f>
        <v>25629.872590079998</v>
      </c>
      <c r="K15" s="87"/>
      <c r="L15" s="115"/>
      <c r="M15" s="88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</row>
    <row r="16" spans="1:28" s="10" customFormat="1" ht="14.25" customHeight="1" x14ac:dyDescent="0.25">
      <c r="A16" s="69" t="s">
        <v>60</v>
      </c>
      <c r="B16" s="42" t="s">
        <v>19</v>
      </c>
      <c r="C16" s="44">
        <v>96543</v>
      </c>
      <c r="D16" s="48" t="s">
        <v>264</v>
      </c>
      <c r="E16" s="44" t="s">
        <v>118</v>
      </c>
      <c r="F16" s="70">
        <v>50.6</v>
      </c>
      <c r="G16" s="70">
        <v>12.92</v>
      </c>
      <c r="H16" s="71">
        <f>BDI!D$25</f>
        <v>0.27079999999999999</v>
      </c>
      <c r="I16" s="45">
        <f t="shared" ref="I16" si="4">G16*(1+H16)</f>
        <v>16.418735999999999</v>
      </c>
      <c r="J16" s="47">
        <f t="shared" ref="J16" si="5">I16*F16</f>
        <v>830.78804159999993</v>
      </c>
      <c r="K16" s="87"/>
      <c r="L16" s="115"/>
      <c r="M16" s="88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</row>
    <row r="17" spans="1:28" s="10" customFormat="1" ht="14.25" customHeight="1" x14ac:dyDescent="0.25">
      <c r="A17" s="69" t="s">
        <v>61</v>
      </c>
      <c r="B17" s="42" t="s">
        <v>19</v>
      </c>
      <c r="C17" s="44">
        <v>96545</v>
      </c>
      <c r="D17" s="48" t="s">
        <v>263</v>
      </c>
      <c r="E17" s="44" t="s">
        <v>118</v>
      </c>
      <c r="F17" s="70">
        <v>140.80000000000001</v>
      </c>
      <c r="G17" s="70">
        <v>10.44</v>
      </c>
      <c r="H17" s="71">
        <f>BDI!D$25</f>
        <v>0.27079999999999999</v>
      </c>
      <c r="I17" s="45">
        <f t="shared" ref="I17:I20" si="6">G17*(1+H17)</f>
        <v>13.267151999999999</v>
      </c>
      <c r="J17" s="47">
        <f t="shared" ref="J17:J20" si="7">I17*F17</f>
        <v>1868.0150016</v>
      </c>
      <c r="K17" s="87"/>
      <c r="L17" s="115"/>
      <c r="M17" s="88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</row>
    <row r="18" spans="1:28" s="10" customFormat="1" ht="14.25" customHeight="1" x14ac:dyDescent="0.25">
      <c r="A18" s="69" t="s">
        <v>62</v>
      </c>
      <c r="B18" s="42" t="s">
        <v>19</v>
      </c>
      <c r="C18" s="44">
        <v>96546</v>
      </c>
      <c r="D18" s="48" t="s">
        <v>262</v>
      </c>
      <c r="E18" s="44" t="s">
        <v>118</v>
      </c>
      <c r="F18" s="70">
        <v>184.8</v>
      </c>
      <c r="G18" s="70">
        <v>8.49</v>
      </c>
      <c r="H18" s="71">
        <f>BDI!D$25</f>
        <v>0.27079999999999999</v>
      </c>
      <c r="I18" s="45">
        <f t="shared" si="6"/>
        <v>10.789092</v>
      </c>
      <c r="J18" s="47">
        <f t="shared" si="7"/>
        <v>1993.8242016000002</v>
      </c>
      <c r="K18" s="87"/>
      <c r="L18" s="115"/>
      <c r="M18" s="88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</row>
    <row r="19" spans="1:28" s="14" customFormat="1" ht="28.5" x14ac:dyDescent="0.25">
      <c r="A19" s="69" t="s">
        <v>161</v>
      </c>
      <c r="B19" s="42" t="s">
        <v>19</v>
      </c>
      <c r="C19" s="44">
        <v>96558</v>
      </c>
      <c r="D19" s="48" t="s">
        <v>162</v>
      </c>
      <c r="E19" s="44" t="s">
        <v>269</v>
      </c>
      <c r="F19" s="70">
        <v>7.04</v>
      </c>
      <c r="G19" s="70">
        <v>360.65</v>
      </c>
      <c r="H19" s="71">
        <f>BDI!D$25</f>
        <v>0.27079999999999999</v>
      </c>
      <c r="I19" s="45">
        <f t="shared" ref="I19" si="8">G19*(1+H19)</f>
        <v>458.31401999999997</v>
      </c>
      <c r="J19" s="47">
        <f t="shared" ref="J19" si="9">I19*F19</f>
        <v>3226.5307008</v>
      </c>
      <c r="K19" s="87"/>
      <c r="L19" s="116"/>
      <c r="M19" s="114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</row>
    <row r="20" spans="1:28" s="10" customFormat="1" ht="29.25" thickBot="1" x14ac:dyDescent="0.3">
      <c r="A20" s="72" t="s">
        <v>218</v>
      </c>
      <c r="B20" s="73" t="s">
        <v>19</v>
      </c>
      <c r="C20" s="73">
        <v>96532</v>
      </c>
      <c r="D20" s="74" t="s">
        <v>163</v>
      </c>
      <c r="E20" s="73" t="s">
        <v>268</v>
      </c>
      <c r="F20" s="235">
        <f>1.6*52.8</f>
        <v>84.48</v>
      </c>
      <c r="G20" s="75">
        <v>164.97</v>
      </c>
      <c r="H20" s="76">
        <f>BDI!D$25</f>
        <v>0.27079999999999999</v>
      </c>
      <c r="I20" s="75">
        <f t="shared" si="6"/>
        <v>209.64387599999998</v>
      </c>
      <c r="J20" s="77">
        <f t="shared" si="7"/>
        <v>17710.714644479998</v>
      </c>
      <c r="K20" s="87"/>
      <c r="L20" s="115"/>
      <c r="M20" s="88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</row>
    <row r="21" spans="1:28" s="10" customFormat="1" ht="15" x14ac:dyDescent="0.25">
      <c r="A21" s="35">
        <v>4</v>
      </c>
      <c r="B21" s="36"/>
      <c r="C21" s="36"/>
      <c r="D21" s="37" t="s">
        <v>93</v>
      </c>
      <c r="E21" s="36"/>
      <c r="F21" s="36"/>
      <c r="G21" s="38"/>
      <c r="H21" s="39"/>
      <c r="I21" s="38"/>
      <c r="J21" s="40">
        <f>SUM(J22:J26)</f>
        <v>5103.0498959999995</v>
      </c>
      <c r="K21" s="87"/>
      <c r="L21" s="115"/>
      <c r="M21" s="88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</row>
    <row r="22" spans="1:28" s="10" customFormat="1" ht="28.5" x14ac:dyDescent="0.25">
      <c r="A22" s="69" t="s">
        <v>63</v>
      </c>
      <c r="B22" s="42" t="s">
        <v>19</v>
      </c>
      <c r="C22" s="44">
        <v>92791</v>
      </c>
      <c r="D22" s="48" t="s">
        <v>160</v>
      </c>
      <c r="E22" s="44" t="s">
        <v>118</v>
      </c>
      <c r="F22" s="70">
        <v>18.2</v>
      </c>
      <c r="G22" s="70">
        <v>7.02</v>
      </c>
      <c r="H22" s="71">
        <f>[1]BDI!F$25</f>
        <v>0.27079999999999999</v>
      </c>
      <c r="I22" s="45">
        <f t="shared" ref="I22:I26" si="10">G22*(1+H22)</f>
        <v>8.9210159999999998</v>
      </c>
      <c r="J22" s="47">
        <f t="shared" ref="J22:J26" si="11">I22*F22</f>
        <v>162.36249119999999</v>
      </c>
      <c r="K22" s="87"/>
      <c r="L22" s="115"/>
      <c r="M22" s="88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</row>
    <row r="23" spans="1:28" s="10" customFormat="1" ht="28.5" x14ac:dyDescent="0.25">
      <c r="A23" s="69" t="s">
        <v>64</v>
      </c>
      <c r="B23" s="42" t="s">
        <v>19</v>
      </c>
      <c r="C23" s="44">
        <v>92793</v>
      </c>
      <c r="D23" s="48" t="s">
        <v>158</v>
      </c>
      <c r="E23" s="44" t="s">
        <v>118</v>
      </c>
      <c r="F23" s="70">
        <v>12.9</v>
      </c>
      <c r="G23" s="70">
        <v>6.88</v>
      </c>
      <c r="H23" s="71">
        <f>[1]BDI!F$25</f>
        <v>0.27079999999999999</v>
      </c>
      <c r="I23" s="45">
        <f t="shared" si="10"/>
        <v>8.7431039999999989</v>
      </c>
      <c r="J23" s="47">
        <f t="shared" si="11"/>
        <v>112.78604159999999</v>
      </c>
      <c r="K23" s="87"/>
      <c r="L23" s="115"/>
      <c r="M23" s="88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</row>
    <row r="24" spans="1:28" s="10" customFormat="1" ht="28.5" x14ac:dyDescent="0.25">
      <c r="A24" s="69" t="s">
        <v>65</v>
      </c>
      <c r="B24" s="42" t="s">
        <v>19</v>
      </c>
      <c r="C24" s="44">
        <v>92794</v>
      </c>
      <c r="D24" s="48" t="s">
        <v>159</v>
      </c>
      <c r="E24" s="44" t="s">
        <v>118</v>
      </c>
      <c r="F24" s="70">
        <v>72.5</v>
      </c>
      <c r="G24" s="70">
        <v>5.69</v>
      </c>
      <c r="H24" s="71">
        <f>[1]BDI!F$25</f>
        <v>0.27079999999999999</v>
      </c>
      <c r="I24" s="45">
        <f t="shared" ref="I24" si="12">G24*(1+H24)</f>
        <v>7.2308520000000005</v>
      </c>
      <c r="J24" s="47">
        <f t="shared" ref="J24" si="13">I24*F24</f>
        <v>524.23677000000009</v>
      </c>
      <c r="K24" s="87"/>
      <c r="L24" s="115"/>
      <c r="M24" s="88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</row>
    <row r="25" spans="1:28" s="10" customFormat="1" ht="42.75" x14ac:dyDescent="0.25">
      <c r="A25" s="69" t="s">
        <v>242</v>
      </c>
      <c r="B25" s="42" t="s">
        <v>19</v>
      </c>
      <c r="C25" s="44">
        <v>92409</v>
      </c>
      <c r="D25" s="48" t="s">
        <v>245</v>
      </c>
      <c r="E25" s="44" t="s">
        <v>268</v>
      </c>
      <c r="F25" s="70">
        <v>15.46</v>
      </c>
      <c r="G25" s="70">
        <v>190.01</v>
      </c>
      <c r="H25" s="71">
        <f>[1]BDI!F$25</f>
        <v>0.27079999999999999</v>
      </c>
      <c r="I25" s="45">
        <f t="shared" ref="I25" si="14">G25*(1+H25)</f>
        <v>241.46470799999997</v>
      </c>
      <c r="J25" s="47">
        <f t="shared" ref="J25" si="15">I25*F25</f>
        <v>3733.0443856799998</v>
      </c>
      <c r="K25" s="87"/>
      <c r="L25" s="115"/>
      <c r="M25" s="88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</row>
    <row r="26" spans="1:28" s="10" customFormat="1" ht="29.25" thickBot="1" x14ac:dyDescent="0.3">
      <c r="A26" s="66" t="s">
        <v>244</v>
      </c>
      <c r="B26" s="50" t="s">
        <v>19</v>
      </c>
      <c r="C26" s="52">
        <v>92721</v>
      </c>
      <c r="D26" s="51" t="s">
        <v>243</v>
      </c>
      <c r="E26" s="52" t="s">
        <v>269</v>
      </c>
      <c r="F26" s="67">
        <v>1.53</v>
      </c>
      <c r="G26" s="67">
        <v>293.48</v>
      </c>
      <c r="H26" s="68">
        <f>[1]BDI!F$25</f>
        <v>0.27079999999999999</v>
      </c>
      <c r="I26" s="53">
        <f t="shared" si="10"/>
        <v>372.954384</v>
      </c>
      <c r="J26" s="55">
        <f t="shared" si="11"/>
        <v>570.62020752000001</v>
      </c>
      <c r="K26" s="87"/>
      <c r="L26" s="115"/>
      <c r="M26" s="88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</row>
    <row r="27" spans="1:28" s="10" customFormat="1" ht="15" x14ac:dyDescent="0.25">
      <c r="A27" s="35">
        <v>5</v>
      </c>
      <c r="B27" s="36"/>
      <c r="C27" s="36"/>
      <c r="D27" s="37" t="s">
        <v>233</v>
      </c>
      <c r="E27" s="36"/>
      <c r="F27" s="36"/>
      <c r="G27" s="38"/>
      <c r="H27" s="39"/>
      <c r="I27" s="38"/>
      <c r="J27" s="40">
        <f>SUM(J28)</f>
        <v>126311.166</v>
      </c>
      <c r="K27" s="87"/>
      <c r="L27" s="115"/>
      <c r="M27" s="88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</row>
    <row r="28" spans="1:28" s="10" customFormat="1" ht="15" thickBot="1" x14ac:dyDescent="0.3">
      <c r="A28" s="69" t="s">
        <v>391</v>
      </c>
      <c r="B28" s="304" t="s">
        <v>220</v>
      </c>
      <c r="C28" s="305"/>
      <c r="D28" s="64" t="s">
        <v>233</v>
      </c>
      <c r="E28" s="44" t="s">
        <v>205</v>
      </c>
      <c r="F28" s="65">
        <v>1</v>
      </c>
      <c r="G28" s="234">
        <f>'Gestão de Orçamentos '!C11</f>
        <v>99395</v>
      </c>
      <c r="H28" s="71">
        <f>BDI!D$25</f>
        <v>0.27079999999999999</v>
      </c>
      <c r="I28" s="45">
        <f t="shared" ref="I28" si="16">G28*(1+H28)</f>
        <v>126311.166</v>
      </c>
      <c r="J28" s="47">
        <f>I28*F28</f>
        <v>126311.166</v>
      </c>
      <c r="K28" s="87"/>
      <c r="L28" s="115"/>
      <c r="M28" s="88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</row>
    <row r="29" spans="1:28" s="10" customFormat="1" ht="15" x14ac:dyDescent="0.25">
      <c r="A29" s="35">
        <v>6</v>
      </c>
      <c r="B29" s="36"/>
      <c r="C29" s="36"/>
      <c r="D29" s="37" t="s">
        <v>250</v>
      </c>
      <c r="E29" s="36"/>
      <c r="F29" s="36"/>
      <c r="G29" s="38"/>
      <c r="H29" s="39"/>
      <c r="I29" s="38"/>
      <c r="J29" s="40">
        <f>SUM(J30:J32)</f>
        <v>29635.513488000001</v>
      </c>
      <c r="K29" s="87"/>
      <c r="L29" s="115"/>
      <c r="M29" s="88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</row>
    <row r="30" spans="1:28" s="10" customFormat="1" ht="14.25" customHeight="1" x14ac:dyDescent="0.25">
      <c r="A30" s="69" t="s">
        <v>166</v>
      </c>
      <c r="B30" s="42" t="s">
        <v>19</v>
      </c>
      <c r="C30" s="42">
        <v>96110</v>
      </c>
      <c r="D30" s="86" t="s">
        <v>249</v>
      </c>
      <c r="E30" s="44" t="s">
        <v>268</v>
      </c>
      <c r="F30" s="45">
        <v>135</v>
      </c>
      <c r="G30" s="65">
        <v>55.42</v>
      </c>
      <c r="H30" s="71">
        <f>BDI!D$25</f>
        <v>0.27079999999999999</v>
      </c>
      <c r="I30" s="45">
        <f t="shared" ref="I30" si="17">G30*(1+H30)</f>
        <v>70.427735999999996</v>
      </c>
      <c r="J30" s="47">
        <f t="shared" ref="J30" si="18">I30*F30</f>
        <v>9507.7443599999988</v>
      </c>
      <c r="K30" s="87"/>
      <c r="L30" s="115"/>
      <c r="M30" s="88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</row>
    <row r="31" spans="1:28" s="10" customFormat="1" ht="28.5" customHeight="1" x14ac:dyDescent="0.25">
      <c r="A31" s="69" t="s">
        <v>392</v>
      </c>
      <c r="B31" s="44" t="s">
        <v>19</v>
      </c>
      <c r="C31" s="63">
        <v>96359</v>
      </c>
      <c r="D31" s="64" t="s">
        <v>258</v>
      </c>
      <c r="E31" s="44" t="s">
        <v>268</v>
      </c>
      <c r="F31" s="65">
        <v>74</v>
      </c>
      <c r="G31" s="65">
        <v>83.09</v>
      </c>
      <c r="H31" s="71">
        <f>BDI!D$25</f>
        <v>0.27079999999999999</v>
      </c>
      <c r="I31" s="45">
        <f t="shared" ref="I31" si="19">G31*(1+H31)</f>
        <v>105.590772</v>
      </c>
      <c r="J31" s="47">
        <f t="shared" ref="J31" si="20">I31*F31</f>
        <v>7813.7171280000002</v>
      </c>
      <c r="K31" s="87"/>
      <c r="L31" s="115"/>
      <c r="M31" s="88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</row>
    <row r="32" spans="1:28" s="10" customFormat="1" ht="28.5" customHeight="1" thickBot="1" x14ac:dyDescent="0.3">
      <c r="A32" s="69" t="s">
        <v>393</v>
      </c>
      <c r="B32" s="52" t="s">
        <v>19</v>
      </c>
      <c r="C32" s="52">
        <v>96371</v>
      </c>
      <c r="D32" s="51" t="s">
        <v>217</v>
      </c>
      <c r="E32" s="52" t="s">
        <v>268</v>
      </c>
      <c r="F32" s="233">
        <v>170</v>
      </c>
      <c r="G32" s="67">
        <v>57</v>
      </c>
      <c r="H32" s="68">
        <f>BDI!D$25</f>
        <v>0.27079999999999999</v>
      </c>
      <c r="I32" s="53">
        <f t="shared" ref="I32" si="21">G32*(1+H32)</f>
        <v>72.435599999999994</v>
      </c>
      <c r="J32" s="55">
        <f t="shared" ref="J32" si="22">I32*F32</f>
        <v>12314.052</v>
      </c>
      <c r="K32" s="87"/>
      <c r="L32" s="136"/>
      <c r="M32" s="136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</row>
    <row r="33" spans="1:28" s="10" customFormat="1" ht="15" x14ac:dyDescent="0.25">
      <c r="A33" s="35">
        <v>7</v>
      </c>
      <c r="B33" s="36"/>
      <c r="C33" s="36"/>
      <c r="D33" s="37" t="s">
        <v>98</v>
      </c>
      <c r="E33" s="36"/>
      <c r="F33" s="36"/>
      <c r="G33" s="38"/>
      <c r="H33" s="39"/>
      <c r="I33" s="38"/>
      <c r="J33" s="40">
        <f>SUM(J34:J72)</f>
        <v>34122.768015600006</v>
      </c>
      <c r="K33" s="87"/>
      <c r="L33" s="115"/>
      <c r="M33" s="88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</row>
    <row r="34" spans="1:28" s="10" customFormat="1" ht="28.5" x14ac:dyDescent="0.25">
      <c r="A34" s="225" t="s">
        <v>91</v>
      </c>
      <c r="B34" s="79" t="s">
        <v>19</v>
      </c>
      <c r="C34" s="79">
        <v>98067</v>
      </c>
      <c r="D34" s="204" t="s">
        <v>318</v>
      </c>
      <c r="E34" s="79" t="s">
        <v>319</v>
      </c>
      <c r="F34" s="84">
        <v>1</v>
      </c>
      <c r="G34" s="84">
        <v>5082.84</v>
      </c>
      <c r="H34" s="226">
        <f>[2]BDI!F$25</f>
        <v>0.27079999999999999</v>
      </c>
      <c r="I34" s="84">
        <f t="shared" ref="I34:I41" si="23">G34*(1+H34)</f>
        <v>6459.273072</v>
      </c>
      <c r="J34" s="85">
        <f t="shared" ref="J34:J41" si="24">I34*F34</f>
        <v>6459.273072</v>
      </c>
      <c r="K34" s="87"/>
      <c r="L34" s="115"/>
      <c r="M34" s="88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8" s="10" customFormat="1" ht="28.5" x14ac:dyDescent="0.25">
      <c r="A35" s="225" t="s">
        <v>150</v>
      </c>
      <c r="B35" s="79" t="s">
        <v>19</v>
      </c>
      <c r="C35" s="79">
        <v>98073</v>
      </c>
      <c r="D35" s="204" t="s">
        <v>320</v>
      </c>
      <c r="E35" s="79" t="s">
        <v>319</v>
      </c>
      <c r="F35" s="84">
        <v>1</v>
      </c>
      <c r="G35" s="84">
        <v>4964.3999999999996</v>
      </c>
      <c r="H35" s="226">
        <f>[2]BDI!F$25</f>
        <v>0.27079999999999999</v>
      </c>
      <c r="I35" s="84">
        <f t="shared" si="23"/>
        <v>6308.7595199999996</v>
      </c>
      <c r="J35" s="85">
        <f t="shared" si="24"/>
        <v>6308.7595199999996</v>
      </c>
      <c r="K35" s="87"/>
      <c r="L35" s="115"/>
      <c r="M35" s="88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</row>
    <row r="36" spans="1:28" s="10" customFormat="1" ht="28.5" x14ac:dyDescent="0.25">
      <c r="A36" s="225" t="s">
        <v>151</v>
      </c>
      <c r="B36" s="79" t="s">
        <v>19</v>
      </c>
      <c r="C36" s="79">
        <v>98080</v>
      </c>
      <c r="D36" s="204" t="s">
        <v>321</v>
      </c>
      <c r="E36" s="79" t="s">
        <v>319</v>
      </c>
      <c r="F36" s="84">
        <v>1</v>
      </c>
      <c r="G36" s="84">
        <v>7268.22</v>
      </c>
      <c r="H36" s="226">
        <f>[2]BDI!F$25</f>
        <v>0.27079999999999999</v>
      </c>
      <c r="I36" s="84">
        <f t="shared" si="23"/>
        <v>9236.4539760000007</v>
      </c>
      <c r="J36" s="85">
        <f t="shared" si="24"/>
        <v>9236.4539760000007</v>
      </c>
      <c r="K36" s="87"/>
      <c r="L36" s="115"/>
      <c r="M36" s="88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</row>
    <row r="37" spans="1:28" s="10" customFormat="1" ht="28.5" customHeight="1" x14ac:dyDescent="0.25">
      <c r="A37" s="225" t="s">
        <v>322</v>
      </c>
      <c r="B37" s="79" t="s">
        <v>19</v>
      </c>
      <c r="C37" s="79">
        <v>98105</v>
      </c>
      <c r="D37" s="204" t="s">
        <v>323</v>
      </c>
      <c r="E37" s="79" t="s">
        <v>319</v>
      </c>
      <c r="F37" s="84">
        <v>1</v>
      </c>
      <c r="G37" s="84">
        <v>528.11</v>
      </c>
      <c r="H37" s="226">
        <f>[2]BDI!F$25</f>
        <v>0.27079999999999999</v>
      </c>
      <c r="I37" s="84">
        <f t="shared" si="23"/>
        <v>671.12218799999994</v>
      </c>
      <c r="J37" s="85">
        <f t="shared" si="24"/>
        <v>671.12218799999994</v>
      </c>
      <c r="K37" s="87"/>
      <c r="L37" s="115"/>
      <c r="M37" s="88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</row>
    <row r="38" spans="1:28" s="10" customFormat="1" ht="28.5" x14ac:dyDescent="0.25">
      <c r="A38" s="225" t="s">
        <v>324</v>
      </c>
      <c r="B38" s="79" t="s">
        <v>19</v>
      </c>
      <c r="C38" s="79">
        <v>89482</v>
      </c>
      <c r="D38" s="204" t="s">
        <v>128</v>
      </c>
      <c r="E38" s="79" t="s">
        <v>319</v>
      </c>
      <c r="F38" s="84">
        <v>7</v>
      </c>
      <c r="G38" s="84">
        <v>17.82</v>
      </c>
      <c r="H38" s="226">
        <f>[2]BDI!F$25</f>
        <v>0.27079999999999999</v>
      </c>
      <c r="I38" s="84">
        <f t="shared" si="23"/>
        <v>22.645655999999999</v>
      </c>
      <c r="J38" s="85">
        <f t="shared" si="24"/>
        <v>158.51959199999999</v>
      </c>
      <c r="K38" s="87"/>
      <c r="L38" s="115"/>
      <c r="M38" s="88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</row>
    <row r="39" spans="1:28" s="10" customFormat="1" ht="28.5" x14ac:dyDescent="0.25">
      <c r="A39" s="225" t="s">
        <v>325</v>
      </c>
      <c r="B39" s="79" t="s">
        <v>19</v>
      </c>
      <c r="C39" s="79" t="s">
        <v>326</v>
      </c>
      <c r="D39" s="204" t="s">
        <v>136</v>
      </c>
      <c r="E39" s="79" t="s">
        <v>319</v>
      </c>
      <c r="F39" s="84">
        <v>2</v>
      </c>
      <c r="G39" s="84">
        <v>198.74</v>
      </c>
      <c r="H39" s="226">
        <f>[2]BDI!F$25</f>
        <v>0.27079999999999999</v>
      </c>
      <c r="I39" s="84">
        <f t="shared" si="23"/>
        <v>252.55879200000001</v>
      </c>
      <c r="J39" s="85">
        <f t="shared" si="24"/>
        <v>505.11758400000002</v>
      </c>
      <c r="K39" s="87"/>
      <c r="L39" s="115"/>
      <c r="M39" s="88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</row>
    <row r="40" spans="1:28" s="10" customFormat="1" x14ac:dyDescent="0.25">
      <c r="A40" s="225" t="s">
        <v>327</v>
      </c>
      <c r="B40" s="79" t="s">
        <v>19</v>
      </c>
      <c r="C40" s="79">
        <v>72285</v>
      </c>
      <c r="D40" s="227" t="s">
        <v>133</v>
      </c>
      <c r="E40" s="79" t="s">
        <v>319</v>
      </c>
      <c r="F40" s="84">
        <v>1</v>
      </c>
      <c r="G40" s="84">
        <v>85.08</v>
      </c>
      <c r="H40" s="226">
        <f>[2]BDI!F$25</f>
        <v>0.27079999999999999</v>
      </c>
      <c r="I40" s="84">
        <f t="shared" si="23"/>
        <v>108.11966399999999</v>
      </c>
      <c r="J40" s="85">
        <f t="shared" si="24"/>
        <v>108.11966399999999</v>
      </c>
      <c r="K40" s="87"/>
      <c r="L40" s="115"/>
      <c r="M40" s="88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</row>
    <row r="41" spans="1:28" s="89" customFormat="1" ht="28.5" x14ac:dyDescent="0.25">
      <c r="A41" s="225" t="s">
        <v>328</v>
      </c>
      <c r="B41" s="79" t="s">
        <v>19</v>
      </c>
      <c r="C41" s="79">
        <v>94795</v>
      </c>
      <c r="D41" s="204" t="s">
        <v>141</v>
      </c>
      <c r="E41" s="79" t="s">
        <v>319</v>
      </c>
      <c r="F41" s="84">
        <v>2</v>
      </c>
      <c r="G41" s="84">
        <v>17.21</v>
      </c>
      <c r="H41" s="226">
        <f>[2]BDI!F$25</f>
        <v>0.27079999999999999</v>
      </c>
      <c r="I41" s="84">
        <f t="shared" si="23"/>
        <v>21.870467999999999</v>
      </c>
      <c r="J41" s="85">
        <f t="shared" si="24"/>
        <v>43.740935999999998</v>
      </c>
      <c r="K41" s="87"/>
      <c r="L41" s="115"/>
      <c r="M41" s="88"/>
    </row>
    <row r="42" spans="1:28" s="14" customFormat="1" ht="28.5" x14ac:dyDescent="0.25">
      <c r="A42" s="225" t="s">
        <v>329</v>
      </c>
      <c r="B42" s="79" t="s">
        <v>19</v>
      </c>
      <c r="C42" s="79">
        <v>89969</v>
      </c>
      <c r="D42" s="204" t="s">
        <v>142</v>
      </c>
      <c r="E42" s="79" t="s">
        <v>319</v>
      </c>
      <c r="F42" s="84">
        <v>11</v>
      </c>
      <c r="G42" s="84">
        <v>34.630000000000003</v>
      </c>
      <c r="H42" s="226">
        <v>0.27079999999999999</v>
      </c>
      <c r="I42" s="84">
        <v>59.676767999999996</v>
      </c>
      <c r="J42" s="85">
        <v>656.44444799999997</v>
      </c>
      <c r="K42" s="87"/>
      <c r="L42" s="115"/>
      <c r="M42" s="114"/>
      <c r="N42" s="117"/>
      <c r="O42" s="117"/>
      <c r="P42" s="117"/>
      <c r="Q42" s="117"/>
      <c r="R42" s="117"/>
      <c r="S42" s="117"/>
      <c r="T42" s="117"/>
      <c r="U42" s="117"/>
      <c r="V42" s="117"/>
      <c r="W42" s="117"/>
      <c r="X42" s="117"/>
      <c r="Y42" s="117"/>
      <c r="Z42" s="117"/>
      <c r="AA42" s="117"/>
      <c r="AB42" s="117"/>
    </row>
    <row r="43" spans="1:28" s="10" customFormat="1" ht="28.5" customHeight="1" x14ac:dyDescent="0.25">
      <c r="A43" s="225" t="s">
        <v>330</v>
      </c>
      <c r="B43" s="79" t="s">
        <v>19</v>
      </c>
      <c r="C43" s="79">
        <v>89352</v>
      </c>
      <c r="D43" s="204" t="s">
        <v>131</v>
      </c>
      <c r="E43" s="79" t="s">
        <v>319</v>
      </c>
      <c r="F43" s="84">
        <v>4</v>
      </c>
      <c r="G43" s="84">
        <v>31</v>
      </c>
      <c r="H43" s="226">
        <v>0.27079999999999999</v>
      </c>
      <c r="I43" s="84">
        <v>34.75638</v>
      </c>
      <c r="J43" s="85">
        <v>139.02552</v>
      </c>
      <c r="K43" s="87"/>
      <c r="L43" s="115"/>
      <c r="M43" s="88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</row>
    <row r="44" spans="1:28" s="10" customFormat="1" ht="28.5" customHeight="1" x14ac:dyDescent="0.25">
      <c r="A44" s="225" t="s">
        <v>331</v>
      </c>
      <c r="B44" s="79" t="s">
        <v>19</v>
      </c>
      <c r="C44" s="79">
        <v>94492</v>
      </c>
      <c r="D44" s="204" t="s">
        <v>332</v>
      </c>
      <c r="E44" s="79" t="s">
        <v>319</v>
      </c>
      <c r="F44" s="84">
        <v>1</v>
      </c>
      <c r="G44" s="84">
        <v>34.11</v>
      </c>
      <c r="H44" s="226">
        <v>0.27079999999999999</v>
      </c>
      <c r="I44" s="84">
        <v>38.937311999999999</v>
      </c>
      <c r="J44" s="85">
        <v>38.937311999999999</v>
      </c>
      <c r="K44" s="87"/>
      <c r="L44" s="115"/>
      <c r="M44" s="88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</row>
    <row r="45" spans="1:28" s="10" customFormat="1" ht="28.5" customHeight="1" x14ac:dyDescent="0.25">
      <c r="A45" s="225" t="s">
        <v>333</v>
      </c>
      <c r="B45" s="79" t="s">
        <v>19</v>
      </c>
      <c r="C45" s="79">
        <v>89408</v>
      </c>
      <c r="D45" s="204" t="s">
        <v>130</v>
      </c>
      <c r="E45" s="79" t="s">
        <v>319</v>
      </c>
      <c r="F45" s="84">
        <v>42</v>
      </c>
      <c r="G45" s="84">
        <v>4.75</v>
      </c>
      <c r="H45" s="226">
        <f>[2]BDI!F$25</f>
        <v>0.27079999999999999</v>
      </c>
      <c r="I45" s="84">
        <f t="shared" ref="I45:I72" si="25">G45*(1+H45)</f>
        <v>6.0362999999999998</v>
      </c>
      <c r="J45" s="85">
        <f t="shared" ref="J45:J72" si="26">I45*F45</f>
        <v>253.52459999999999</v>
      </c>
      <c r="K45" s="87"/>
      <c r="L45" s="115"/>
      <c r="M45" s="88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</row>
    <row r="46" spans="1:28" s="10" customFormat="1" ht="28.5" customHeight="1" x14ac:dyDescent="0.25">
      <c r="A46" s="225" t="s">
        <v>334</v>
      </c>
      <c r="B46" s="79" t="s">
        <v>19</v>
      </c>
      <c r="C46" s="79">
        <v>89409</v>
      </c>
      <c r="D46" s="204" t="s">
        <v>129</v>
      </c>
      <c r="E46" s="79" t="s">
        <v>319</v>
      </c>
      <c r="F46" s="84">
        <v>3</v>
      </c>
      <c r="G46" s="84">
        <v>5.22</v>
      </c>
      <c r="H46" s="226">
        <f>[2]BDI!F$25</f>
        <v>0.27079999999999999</v>
      </c>
      <c r="I46" s="84">
        <f t="shared" si="25"/>
        <v>6.6335759999999997</v>
      </c>
      <c r="J46" s="85">
        <f t="shared" si="26"/>
        <v>19.900728000000001</v>
      </c>
      <c r="K46" s="87"/>
      <c r="L46" s="115"/>
      <c r="M46" s="88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</row>
    <row r="47" spans="1:28" s="10" customFormat="1" ht="42.75" x14ac:dyDescent="0.25">
      <c r="A47" s="225" t="s">
        <v>335</v>
      </c>
      <c r="B47" s="79" t="s">
        <v>19</v>
      </c>
      <c r="C47" s="79">
        <v>94676</v>
      </c>
      <c r="D47" s="204" t="s">
        <v>143</v>
      </c>
      <c r="E47" s="79" t="s">
        <v>319</v>
      </c>
      <c r="F47" s="84">
        <v>5</v>
      </c>
      <c r="G47" s="84">
        <v>11.9</v>
      </c>
      <c r="H47" s="226">
        <f>[2]BDI!F$25</f>
        <v>0.27079999999999999</v>
      </c>
      <c r="I47" s="84">
        <f t="shared" si="25"/>
        <v>15.12252</v>
      </c>
      <c r="J47" s="85">
        <f t="shared" si="26"/>
        <v>75.6126</v>
      </c>
      <c r="K47" s="87"/>
      <c r="L47" s="115"/>
      <c r="M47" s="88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</row>
    <row r="48" spans="1:28" s="10" customFormat="1" ht="30" customHeight="1" x14ac:dyDescent="0.25">
      <c r="A48" s="225" t="s">
        <v>336</v>
      </c>
      <c r="B48" s="79" t="s">
        <v>19</v>
      </c>
      <c r="C48" s="79">
        <v>94678</v>
      </c>
      <c r="D48" s="204" t="s">
        <v>337</v>
      </c>
      <c r="E48" s="79" t="s">
        <v>319</v>
      </c>
      <c r="F48" s="84">
        <v>2</v>
      </c>
      <c r="G48" s="84">
        <v>12.16</v>
      </c>
      <c r="H48" s="226">
        <f>[2]BDI!F$25</f>
        <v>0.27079999999999999</v>
      </c>
      <c r="I48" s="84">
        <f t="shared" si="25"/>
        <v>15.452928</v>
      </c>
      <c r="J48" s="85">
        <f t="shared" si="26"/>
        <v>30.905856</v>
      </c>
      <c r="K48" s="87"/>
      <c r="L48" s="115"/>
      <c r="M48" s="88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89"/>
    </row>
    <row r="49" spans="1:28" s="10" customFormat="1" ht="30" customHeight="1" x14ac:dyDescent="0.25">
      <c r="A49" s="225" t="s">
        <v>338</v>
      </c>
      <c r="B49" s="79" t="s">
        <v>19</v>
      </c>
      <c r="C49" s="79">
        <v>89627</v>
      </c>
      <c r="D49" s="204" t="s">
        <v>339</v>
      </c>
      <c r="E49" s="79" t="s">
        <v>319</v>
      </c>
      <c r="F49" s="84">
        <v>4</v>
      </c>
      <c r="G49" s="84">
        <v>13.98</v>
      </c>
      <c r="H49" s="226">
        <f>[2]BDI!F$25</f>
        <v>0.27079999999999999</v>
      </c>
      <c r="I49" s="84">
        <f t="shared" si="25"/>
        <v>17.765784</v>
      </c>
      <c r="J49" s="85">
        <f t="shared" si="26"/>
        <v>71.063136</v>
      </c>
      <c r="K49" s="87"/>
      <c r="L49" s="115"/>
      <c r="M49" s="88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89"/>
    </row>
    <row r="50" spans="1:28" s="10" customFormat="1" ht="30" customHeight="1" x14ac:dyDescent="0.25">
      <c r="A50" s="225" t="s">
        <v>340</v>
      </c>
      <c r="B50" s="79" t="s">
        <v>19</v>
      </c>
      <c r="C50" s="79">
        <v>89625</v>
      </c>
      <c r="D50" s="204" t="s">
        <v>341</v>
      </c>
      <c r="E50" s="79" t="s">
        <v>319</v>
      </c>
      <c r="F50" s="84">
        <v>3</v>
      </c>
      <c r="G50" s="84">
        <v>14.7</v>
      </c>
      <c r="H50" s="226">
        <f>[2]BDI!F$25</f>
        <v>0.27079999999999999</v>
      </c>
      <c r="I50" s="84">
        <f t="shared" si="25"/>
        <v>18.680759999999999</v>
      </c>
      <c r="J50" s="85">
        <f t="shared" si="26"/>
        <v>56.042279999999998</v>
      </c>
      <c r="K50" s="87"/>
      <c r="L50" s="115"/>
      <c r="M50" s="88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89"/>
    </row>
    <row r="51" spans="1:28" s="10" customFormat="1" ht="28.5" x14ac:dyDescent="0.25">
      <c r="A51" s="225" t="s">
        <v>342</v>
      </c>
      <c r="B51" s="79" t="s">
        <v>19</v>
      </c>
      <c r="C51" s="79">
        <v>89623</v>
      </c>
      <c r="D51" s="204" t="s">
        <v>343</v>
      </c>
      <c r="E51" s="79" t="s">
        <v>319</v>
      </c>
      <c r="F51" s="84">
        <v>4</v>
      </c>
      <c r="G51" s="84">
        <v>12.14</v>
      </c>
      <c r="H51" s="226">
        <f>[2]BDI!F$25</f>
        <v>0.27079999999999999</v>
      </c>
      <c r="I51" s="84">
        <f t="shared" si="25"/>
        <v>15.427512</v>
      </c>
      <c r="J51" s="85">
        <f t="shared" si="26"/>
        <v>61.710048</v>
      </c>
      <c r="K51" s="87"/>
      <c r="L51" s="115"/>
      <c r="M51" s="88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</row>
    <row r="52" spans="1:28" s="10" customFormat="1" ht="28.5" x14ac:dyDescent="0.25">
      <c r="A52" s="225" t="s">
        <v>344</v>
      </c>
      <c r="B52" s="79" t="s">
        <v>19</v>
      </c>
      <c r="C52" s="79">
        <v>89395</v>
      </c>
      <c r="D52" s="204" t="s">
        <v>132</v>
      </c>
      <c r="E52" s="79" t="s">
        <v>319</v>
      </c>
      <c r="F52" s="84">
        <v>16</v>
      </c>
      <c r="G52" s="84">
        <v>9.91</v>
      </c>
      <c r="H52" s="226">
        <f>[2]BDI!F$25</f>
        <v>0.27079999999999999</v>
      </c>
      <c r="I52" s="84">
        <f t="shared" si="25"/>
        <v>12.593627999999999</v>
      </c>
      <c r="J52" s="85">
        <f t="shared" si="26"/>
        <v>201.49804799999998</v>
      </c>
      <c r="K52" s="87"/>
      <c r="L52" s="115"/>
      <c r="M52" s="88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</row>
    <row r="53" spans="1:28" s="10" customFormat="1" ht="28.5" x14ac:dyDescent="0.25">
      <c r="A53" s="225" t="s">
        <v>345</v>
      </c>
      <c r="B53" s="79" t="s">
        <v>19</v>
      </c>
      <c r="C53" s="79">
        <v>94692</v>
      </c>
      <c r="D53" s="204" t="s">
        <v>140</v>
      </c>
      <c r="E53" s="79" t="s">
        <v>319</v>
      </c>
      <c r="F53" s="84">
        <v>1</v>
      </c>
      <c r="G53" s="84">
        <v>17.48</v>
      </c>
      <c r="H53" s="226">
        <f>[2]BDI!F$25</f>
        <v>0.27079999999999999</v>
      </c>
      <c r="I53" s="84">
        <f t="shared" si="25"/>
        <v>22.213584000000001</v>
      </c>
      <c r="J53" s="85">
        <f t="shared" si="26"/>
        <v>22.213584000000001</v>
      </c>
      <c r="K53" s="87"/>
      <c r="L53" s="115"/>
      <c r="M53" s="88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</row>
    <row r="54" spans="1:28" s="10" customFormat="1" ht="28.5" x14ac:dyDescent="0.25">
      <c r="A54" s="225" t="s">
        <v>346</v>
      </c>
      <c r="B54" s="79" t="s">
        <v>19</v>
      </c>
      <c r="C54" s="79">
        <v>94648</v>
      </c>
      <c r="D54" s="204" t="s">
        <v>139</v>
      </c>
      <c r="E54" s="79" t="s">
        <v>347</v>
      </c>
      <c r="F54" s="84">
        <f>11.29+6+2.5+11+9.87+8.68+13.5+10+6.25+13.15+2+19.42+7.68</f>
        <v>121.34</v>
      </c>
      <c r="G54" s="84">
        <v>7.7</v>
      </c>
      <c r="H54" s="226">
        <f>[2]BDI!F$25</f>
        <v>0.27079999999999999</v>
      </c>
      <c r="I54" s="84">
        <f t="shared" si="25"/>
        <v>9.7851599999999994</v>
      </c>
      <c r="J54" s="85">
        <f t="shared" si="26"/>
        <v>1187.3313143999999</v>
      </c>
      <c r="K54" s="87"/>
      <c r="L54" s="115"/>
      <c r="M54" s="88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</row>
    <row r="55" spans="1:28" s="10" customFormat="1" ht="28.5" x14ac:dyDescent="0.25">
      <c r="A55" s="225" t="s">
        <v>348</v>
      </c>
      <c r="B55" s="79" t="s">
        <v>19</v>
      </c>
      <c r="C55" s="79">
        <v>89449</v>
      </c>
      <c r="D55" s="204" t="s">
        <v>155</v>
      </c>
      <c r="E55" s="79" t="s">
        <v>347</v>
      </c>
      <c r="F55" s="84">
        <f>7.2</f>
        <v>7.2</v>
      </c>
      <c r="G55" s="84">
        <v>10.29</v>
      </c>
      <c r="H55" s="226">
        <f>[2]BDI!F$25</f>
        <v>0.27079999999999999</v>
      </c>
      <c r="I55" s="84">
        <f t="shared" si="25"/>
        <v>13.076531999999998</v>
      </c>
      <c r="J55" s="85">
        <f t="shared" si="26"/>
        <v>94.151030399999996</v>
      </c>
      <c r="K55" s="87"/>
      <c r="L55" s="115"/>
      <c r="M55" s="88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</row>
    <row r="56" spans="1:28" s="10" customFormat="1" ht="28.5" x14ac:dyDescent="0.25">
      <c r="A56" s="225" t="s">
        <v>349</v>
      </c>
      <c r="B56" s="79" t="s">
        <v>19</v>
      </c>
      <c r="C56" s="79">
        <v>89797</v>
      </c>
      <c r="D56" s="204" t="s">
        <v>120</v>
      </c>
      <c r="E56" s="79" t="s">
        <v>319</v>
      </c>
      <c r="F56" s="84">
        <v>3</v>
      </c>
      <c r="G56" s="84">
        <v>30.97</v>
      </c>
      <c r="H56" s="226">
        <f>[2]BDI!F$25</f>
        <v>0.27079999999999999</v>
      </c>
      <c r="I56" s="84">
        <f t="shared" si="25"/>
        <v>39.356675999999993</v>
      </c>
      <c r="J56" s="85">
        <f t="shared" si="26"/>
        <v>118.07002799999998</v>
      </c>
      <c r="K56" s="87"/>
      <c r="L56" s="115"/>
      <c r="M56" s="88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</row>
    <row r="57" spans="1:28" s="10" customFormat="1" ht="28.5" x14ac:dyDescent="0.25">
      <c r="A57" s="225" t="s">
        <v>350</v>
      </c>
      <c r="B57" s="79" t="s">
        <v>19</v>
      </c>
      <c r="C57" s="79">
        <v>89827</v>
      </c>
      <c r="D57" s="204" t="s">
        <v>351</v>
      </c>
      <c r="E57" s="79" t="s">
        <v>319</v>
      </c>
      <c r="F57" s="84">
        <v>2</v>
      </c>
      <c r="G57" s="84">
        <v>10.39</v>
      </c>
      <c r="H57" s="226">
        <f>[2]BDI!F$25</f>
        <v>0.27079999999999999</v>
      </c>
      <c r="I57" s="84">
        <f t="shared" si="25"/>
        <v>13.203612</v>
      </c>
      <c r="J57" s="85">
        <f t="shared" si="26"/>
        <v>26.407223999999999</v>
      </c>
      <c r="K57" s="87"/>
      <c r="L57" s="115"/>
      <c r="M57" s="88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  <c r="AA57" s="89"/>
      <c r="AB57" s="89"/>
    </row>
    <row r="58" spans="1:28" s="10" customFormat="1" ht="28.5" x14ac:dyDescent="0.25">
      <c r="A58" s="225" t="s">
        <v>352</v>
      </c>
      <c r="B58" s="79" t="s">
        <v>19</v>
      </c>
      <c r="C58" s="79">
        <v>89728</v>
      </c>
      <c r="D58" s="204" t="s">
        <v>122</v>
      </c>
      <c r="E58" s="79" t="s">
        <v>319</v>
      </c>
      <c r="F58" s="84">
        <v>19</v>
      </c>
      <c r="G58" s="84">
        <v>7.47</v>
      </c>
      <c r="H58" s="226">
        <f>[2]BDI!F$25</f>
        <v>0.27079999999999999</v>
      </c>
      <c r="I58" s="84">
        <f t="shared" si="25"/>
        <v>9.492875999999999</v>
      </c>
      <c r="J58" s="85">
        <f t="shared" si="26"/>
        <v>180.36464399999997</v>
      </c>
      <c r="K58" s="87"/>
      <c r="L58" s="115"/>
      <c r="M58" s="88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  <c r="AA58" s="89"/>
      <c r="AB58" s="89"/>
    </row>
    <row r="59" spans="1:28" s="10" customFormat="1" ht="28.9" customHeight="1" x14ac:dyDescent="0.25">
      <c r="A59" s="225" t="s">
        <v>353</v>
      </c>
      <c r="B59" s="79" t="s">
        <v>19</v>
      </c>
      <c r="C59" s="79">
        <v>89731</v>
      </c>
      <c r="D59" s="204" t="s">
        <v>123</v>
      </c>
      <c r="E59" s="79" t="s">
        <v>319</v>
      </c>
      <c r="F59" s="84">
        <v>6</v>
      </c>
      <c r="G59" s="84">
        <v>8.14</v>
      </c>
      <c r="H59" s="226">
        <f>[2]BDI!F$25</f>
        <v>0.27079999999999999</v>
      </c>
      <c r="I59" s="84">
        <f t="shared" si="25"/>
        <v>10.344312</v>
      </c>
      <c r="J59" s="85">
        <f t="shared" si="26"/>
        <v>62.065871999999999</v>
      </c>
      <c r="K59" s="87"/>
      <c r="L59" s="115"/>
      <c r="M59" s="88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89"/>
      <c r="AB59" s="89"/>
    </row>
    <row r="60" spans="1:28" s="10" customFormat="1" ht="28.5" x14ac:dyDescent="0.25">
      <c r="A60" s="225" t="s">
        <v>354</v>
      </c>
      <c r="B60" s="79" t="s">
        <v>19</v>
      </c>
      <c r="C60" s="79">
        <v>89744</v>
      </c>
      <c r="D60" s="204" t="s">
        <v>124</v>
      </c>
      <c r="E60" s="79" t="s">
        <v>319</v>
      </c>
      <c r="F60" s="84">
        <v>9</v>
      </c>
      <c r="G60" s="84">
        <v>17.510000000000002</v>
      </c>
      <c r="H60" s="226">
        <f>[2]BDI!F$25</f>
        <v>0.27079999999999999</v>
      </c>
      <c r="I60" s="84">
        <f t="shared" si="25"/>
        <v>22.251708000000001</v>
      </c>
      <c r="J60" s="85">
        <f t="shared" si="26"/>
        <v>200.26537200000001</v>
      </c>
      <c r="K60" s="87"/>
      <c r="L60" s="115"/>
      <c r="M60" s="88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  <c r="AA60" s="89"/>
      <c r="AB60" s="89"/>
    </row>
    <row r="61" spans="1:28" s="10" customFormat="1" ht="28.5" x14ac:dyDescent="0.25">
      <c r="A61" s="225" t="s">
        <v>355</v>
      </c>
      <c r="B61" s="79" t="s">
        <v>19</v>
      </c>
      <c r="C61" s="79">
        <v>89726</v>
      </c>
      <c r="D61" s="204" t="s">
        <v>125</v>
      </c>
      <c r="E61" s="79" t="s">
        <v>319</v>
      </c>
      <c r="F61" s="84">
        <v>3</v>
      </c>
      <c r="G61" s="84">
        <v>5.7</v>
      </c>
      <c r="H61" s="226">
        <f>[2]BDI!F$25</f>
        <v>0.27079999999999999</v>
      </c>
      <c r="I61" s="84">
        <f t="shared" si="25"/>
        <v>7.2435599999999996</v>
      </c>
      <c r="J61" s="85">
        <f t="shared" si="26"/>
        <v>21.73068</v>
      </c>
      <c r="K61" s="87"/>
      <c r="L61" s="115"/>
      <c r="M61" s="88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  <c r="AA61" s="89"/>
      <c r="AB61" s="89"/>
    </row>
    <row r="62" spans="1:28" s="10" customFormat="1" ht="28.5" x14ac:dyDescent="0.25">
      <c r="A62" s="225" t="s">
        <v>356</v>
      </c>
      <c r="B62" s="79" t="s">
        <v>19</v>
      </c>
      <c r="C62" s="79">
        <v>89732</v>
      </c>
      <c r="D62" s="204" t="s">
        <v>126</v>
      </c>
      <c r="E62" s="79" t="s">
        <v>319</v>
      </c>
      <c r="F62" s="84">
        <v>6</v>
      </c>
      <c r="G62" s="84">
        <v>8.48</v>
      </c>
      <c r="H62" s="226">
        <f>[2]BDI!F$25</f>
        <v>0.27079999999999999</v>
      </c>
      <c r="I62" s="84">
        <f t="shared" si="25"/>
        <v>10.776384</v>
      </c>
      <c r="J62" s="85">
        <f t="shared" si="26"/>
        <v>64.658304000000001</v>
      </c>
      <c r="K62" s="87"/>
      <c r="L62" s="115"/>
      <c r="M62" s="88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  <c r="AA62" s="89"/>
      <c r="AB62" s="89"/>
    </row>
    <row r="63" spans="1:28" s="10" customFormat="1" ht="28.5" x14ac:dyDescent="0.25">
      <c r="A63" s="225" t="s">
        <v>357</v>
      </c>
      <c r="B63" s="79" t="s">
        <v>19</v>
      </c>
      <c r="C63" s="79">
        <v>89746</v>
      </c>
      <c r="D63" s="204" t="s">
        <v>127</v>
      </c>
      <c r="E63" s="79" t="s">
        <v>319</v>
      </c>
      <c r="F63" s="84">
        <v>5</v>
      </c>
      <c r="G63" s="84">
        <v>17.48</v>
      </c>
      <c r="H63" s="226">
        <f>[2]BDI!F$25</f>
        <v>0.27079999999999999</v>
      </c>
      <c r="I63" s="84">
        <f t="shared" si="25"/>
        <v>22.213584000000001</v>
      </c>
      <c r="J63" s="85">
        <f t="shared" si="26"/>
        <v>111.06792</v>
      </c>
      <c r="K63" s="87"/>
      <c r="L63" s="115"/>
      <c r="M63" s="88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</row>
    <row r="64" spans="1:28" s="10" customFormat="1" ht="29.45" customHeight="1" x14ac:dyDescent="0.25">
      <c r="A64" s="225" t="s">
        <v>358</v>
      </c>
      <c r="B64" s="79" t="s">
        <v>19</v>
      </c>
      <c r="C64" s="79">
        <v>89531</v>
      </c>
      <c r="D64" s="204" t="s">
        <v>359</v>
      </c>
      <c r="E64" s="79" t="s">
        <v>319</v>
      </c>
      <c r="F64" s="84">
        <v>2</v>
      </c>
      <c r="G64" s="84">
        <v>21.14</v>
      </c>
      <c r="H64" s="226">
        <f>[2]BDI!F$25</f>
        <v>0.27079999999999999</v>
      </c>
      <c r="I64" s="84">
        <f t="shared" si="25"/>
        <v>26.864712000000001</v>
      </c>
      <c r="J64" s="85">
        <f t="shared" si="26"/>
        <v>53.729424000000002</v>
      </c>
      <c r="K64" s="87"/>
      <c r="L64" s="115"/>
      <c r="M64" s="88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  <c r="AA64" s="89"/>
      <c r="AB64" s="89"/>
    </row>
    <row r="65" spans="1:28" s="10" customFormat="1" ht="29.45" customHeight="1" x14ac:dyDescent="0.25">
      <c r="A65" s="225" t="s">
        <v>360</v>
      </c>
      <c r="B65" s="79" t="s">
        <v>19</v>
      </c>
      <c r="C65" s="79">
        <v>89529</v>
      </c>
      <c r="D65" s="204" t="s">
        <v>121</v>
      </c>
      <c r="E65" s="79" t="s">
        <v>319</v>
      </c>
      <c r="F65" s="84">
        <v>2</v>
      </c>
      <c r="G65" s="84">
        <v>25.52</v>
      </c>
      <c r="H65" s="226">
        <f>[2]BDI!F$25</f>
        <v>0.27079999999999999</v>
      </c>
      <c r="I65" s="84">
        <f t="shared" si="25"/>
        <v>32.430816</v>
      </c>
      <c r="J65" s="85">
        <f t="shared" si="26"/>
        <v>64.861632</v>
      </c>
      <c r="K65" s="87"/>
      <c r="L65" s="115"/>
      <c r="M65" s="88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  <c r="AA65" s="89"/>
      <c r="AB65" s="89"/>
    </row>
    <row r="66" spans="1:28" s="10" customFormat="1" ht="29.45" customHeight="1" x14ac:dyDescent="0.25">
      <c r="A66" s="225" t="s">
        <v>361</v>
      </c>
      <c r="B66" s="79" t="s">
        <v>19</v>
      </c>
      <c r="C66" s="79">
        <v>89784</v>
      </c>
      <c r="D66" s="204" t="s">
        <v>362</v>
      </c>
      <c r="E66" s="79" t="s">
        <v>319</v>
      </c>
      <c r="F66" s="84">
        <v>6</v>
      </c>
      <c r="G66" s="84">
        <v>13.83</v>
      </c>
      <c r="H66" s="226">
        <f>[2]BDI!F$25</f>
        <v>0.27079999999999999</v>
      </c>
      <c r="I66" s="84">
        <f t="shared" si="25"/>
        <v>17.575163999999997</v>
      </c>
      <c r="J66" s="85">
        <f t="shared" si="26"/>
        <v>105.45098399999998</v>
      </c>
      <c r="K66" s="87"/>
      <c r="L66" s="115"/>
      <c r="M66" s="88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  <c r="AA66" s="89"/>
      <c r="AB66" s="89"/>
    </row>
    <row r="67" spans="1:28" s="10" customFormat="1" ht="29.45" customHeight="1" x14ac:dyDescent="0.25">
      <c r="A67" s="225" t="s">
        <v>363</v>
      </c>
      <c r="B67" s="79" t="s">
        <v>19</v>
      </c>
      <c r="C67" s="79">
        <v>89800</v>
      </c>
      <c r="D67" s="204" t="s">
        <v>364</v>
      </c>
      <c r="E67" s="79" t="s">
        <v>347</v>
      </c>
      <c r="F67" s="84">
        <f>12+35.35+26.71</f>
        <v>74.06</v>
      </c>
      <c r="G67" s="84">
        <v>16.170000000000002</v>
      </c>
      <c r="H67" s="226">
        <f>[2]BDI!F$25</f>
        <v>0.27079999999999999</v>
      </c>
      <c r="I67" s="84">
        <f t="shared" si="25"/>
        <v>20.548836000000001</v>
      </c>
      <c r="J67" s="85">
        <f t="shared" si="26"/>
        <v>1521.8467941600002</v>
      </c>
      <c r="K67" s="87"/>
      <c r="L67" s="115"/>
      <c r="M67" s="88"/>
      <c r="N67" s="89"/>
      <c r="O67" s="89"/>
      <c r="P67" s="89"/>
      <c r="Q67" s="89"/>
      <c r="R67" s="89"/>
      <c r="S67" s="89"/>
      <c r="T67" s="89"/>
      <c r="U67" s="89"/>
      <c r="V67" s="89"/>
      <c r="W67" s="89"/>
      <c r="X67" s="89"/>
      <c r="Y67" s="89"/>
      <c r="Z67" s="89"/>
      <c r="AA67" s="89"/>
      <c r="AB67" s="89"/>
    </row>
    <row r="68" spans="1:28" s="10" customFormat="1" ht="28.5" x14ac:dyDescent="0.25">
      <c r="A68" s="225" t="s">
        <v>365</v>
      </c>
      <c r="B68" s="79" t="s">
        <v>19</v>
      </c>
      <c r="C68" s="79">
        <v>89714</v>
      </c>
      <c r="D68" s="204" t="s">
        <v>148</v>
      </c>
      <c r="E68" s="79" t="s">
        <v>347</v>
      </c>
      <c r="F68" s="84">
        <f>89.78-F67</f>
        <v>15.719999999999999</v>
      </c>
      <c r="G68" s="84">
        <v>42.57</v>
      </c>
      <c r="H68" s="226">
        <f>[2]BDI!F$25</f>
        <v>0.27079999999999999</v>
      </c>
      <c r="I68" s="84">
        <f t="shared" si="25"/>
        <v>54.097955999999996</v>
      </c>
      <c r="J68" s="85">
        <f t="shared" si="26"/>
        <v>850.41986831999986</v>
      </c>
      <c r="K68" s="87"/>
      <c r="L68" s="115"/>
      <c r="M68" s="88"/>
      <c r="N68" s="89"/>
      <c r="O68" s="89"/>
      <c r="P68" s="89"/>
      <c r="Q68" s="89"/>
      <c r="R68" s="89"/>
      <c r="S68" s="89"/>
      <c r="T68" s="89"/>
      <c r="U68" s="89"/>
      <c r="V68" s="89"/>
      <c r="W68" s="89"/>
      <c r="X68" s="89"/>
      <c r="Y68" s="89"/>
      <c r="Z68" s="89"/>
      <c r="AA68" s="89"/>
      <c r="AB68" s="89"/>
    </row>
    <row r="69" spans="1:28" s="10" customFormat="1" ht="28.5" x14ac:dyDescent="0.25">
      <c r="A69" s="225" t="s">
        <v>366</v>
      </c>
      <c r="B69" s="79" t="s">
        <v>19</v>
      </c>
      <c r="C69" s="79">
        <v>89712</v>
      </c>
      <c r="D69" s="204" t="s">
        <v>138</v>
      </c>
      <c r="E69" s="79" t="s">
        <v>347</v>
      </c>
      <c r="F69" s="84">
        <f>9+2.2+0.65+4.9+1.5</f>
        <v>18.25</v>
      </c>
      <c r="G69" s="84">
        <v>21.7</v>
      </c>
      <c r="H69" s="226">
        <f>[2]BDI!F$25</f>
        <v>0.27079999999999999</v>
      </c>
      <c r="I69" s="84">
        <f t="shared" si="25"/>
        <v>27.576359999999998</v>
      </c>
      <c r="J69" s="85">
        <f t="shared" si="26"/>
        <v>503.26856999999995</v>
      </c>
      <c r="K69" s="87"/>
      <c r="L69" s="115"/>
      <c r="M69" s="88"/>
      <c r="N69" s="89"/>
      <c r="O69" s="89"/>
      <c r="P69" s="89"/>
      <c r="Q69" s="89"/>
      <c r="R69" s="89"/>
      <c r="S69" s="89"/>
      <c r="T69" s="89"/>
      <c r="U69" s="89"/>
      <c r="V69" s="89"/>
      <c r="W69" s="89"/>
      <c r="X69" s="89"/>
      <c r="Y69" s="89"/>
      <c r="Z69" s="89"/>
      <c r="AA69" s="89"/>
      <c r="AB69" s="89"/>
    </row>
    <row r="70" spans="1:28" s="10" customFormat="1" ht="28.5" x14ac:dyDescent="0.25">
      <c r="A70" s="225" t="s">
        <v>367</v>
      </c>
      <c r="B70" s="79" t="s">
        <v>19</v>
      </c>
      <c r="C70" s="79">
        <v>89711</v>
      </c>
      <c r="D70" s="204" t="s">
        <v>137</v>
      </c>
      <c r="E70" s="79" t="s">
        <v>347</v>
      </c>
      <c r="F70" s="84">
        <f>2.45+1.4+0.8+0.5+1.8+1.2+1+0.55+0.25+18+6+6</f>
        <v>39.950000000000003</v>
      </c>
      <c r="G70" s="84">
        <v>15.14</v>
      </c>
      <c r="H70" s="226">
        <f>[2]BDI!F$25</f>
        <v>0.27079999999999999</v>
      </c>
      <c r="I70" s="84">
        <f t="shared" si="25"/>
        <v>19.239912</v>
      </c>
      <c r="J70" s="85">
        <f t="shared" si="26"/>
        <v>768.63448440000002</v>
      </c>
      <c r="K70" s="87"/>
      <c r="L70" s="115"/>
      <c r="M70" s="88"/>
      <c r="N70" s="89"/>
      <c r="O70" s="89"/>
      <c r="P70" s="89"/>
      <c r="Q70" s="89"/>
      <c r="R70" s="89"/>
      <c r="S70" s="89"/>
      <c r="T70" s="89"/>
      <c r="U70" s="89"/>
      <c r="V70" s="89"/>
      <c r="W70" s="89"/>
      <c r="X70" s="89"/>
      <c r="Y70" s="89"/>
      <c r="Z70" s="89"/>
      <c r="AA70" s="89"/>
      <c r="AB70" s="89"/>
    </row>
    <row r="71" spans="1:28" s="10" customFormat="1" x14ac:dyDescent="0.25">
      <c r="A71" s="225" t="s">
        <v>368</v>
      </c>
      <c r="B71" s="79" t="s">
        <v>19</v>
      </c>
      <c r="C71" s="79" t="s">
        <v>369</v>
      </c>
      <c r="D71" s="204" t="s">
        <v>164</v>
      </c>
      <c r="E71" s="79" t="s">
        <v>370</v>
      </c>
      <c r="F71" s="84">
        <v>17.75</v>
      </c>
      <c r="G71" s="84">
        <v>72.16</v>
      </c>
      <c r="H71" s="226">
        <f>[2]BDI!F$25</f>
        <v>0.27079999999999999</v>
      </c>
      <c r="I71" s="84">
        <f t="shared" si="25"/>
        <v>91.70092799999999</v>
      </c>
      <c r="J71" s="85">
        <f t="shared" si="26"/>
        <v>1627.6914719999997</v>
      </c>
      <c r="K71" s="87"/>
      <c r="L71" s="115"/>
      <c r="M71" s="88"/>
      <c r="N71" s="89"/>
      <c r="O71" s="89"/>
      <c r="P71" s="89"/>
      <c r="Q71" s="89"/>
      <c r="R71" s="89"/>
      <c r="S71" s="89"/>
      <c r="T71" s="89"/>
      <c r="U71" s="89"/>
      <c r="V71" s="89"/>
      <c r="W71" s="89"/>
      <c r="X71" s="89"/>
      <c r="Y71" s="89"/>
      <c r="Z71" s="89"/>
      <c r="AA71" s="89"/>
      <c r="AB71" s="89"/>
    </row>
    <row r="72" spans="1:28" s="10" customFormat="1" ht="15" thickBot="1" x14ac:dyDescent="0.3">
      <c r="A72" s="225" t="s">
        <v>371</v>
      </c>
      <c r="B72" s="228" t="s">
        <v>19</v>
      </c>
      <c r="C72" s="228" t="s">
        <v>372</v>
      </c>
      <c r="D72" s="229" t="s">
        <v>165</v>
      </c>
      <c r="E72" s="228" t="s">
        <v>370</v>
      </c>
      <c r="F72" s="230">
        <v>33.520000000000003</v>
      </c>
      <c r="G72" s="230">
        <v>33.869999999999997</v>
      </c>
      <c r="H72" s="231">
        <f>[2]BDI!F$25</f>
        <v>0.27079999999999999</v>
      </c>
      <c r="I72" s="230">
        <f t="shared" si="25"/>
        <v>43.041995999999997</v>
      </c>
      <c r="J72" s="232">
        <f t="shared" si="26"/>
        <v>1442.76770592</v>
      </c>
      <c r="K72" s="87"/>
      <c r="L72" s="115"/>
      <c r="M72" s="88"/>
      <c r="N72" s="89"/>
      <c r="O72" s="89"/>
      <c r="P72" s="89"/>
      <c r="Q72" s="89"/>
      <c r="R72" s="89"/>
      <c r="S72" s="89"/>
      <c r="T72" s="89"/>
      <c r="U72" s="89"/>
      <c r="V72" s="89"/>
      <c r="W72" s="89"/>
      <c r="X72" s="89"/>
      <c r="Y72" s="89"/>
      <c r="Z72" s="89"/>
      <c r="AA72" s="89"/>
      <c r="AB72" s="89"/>
    </row>
    <row r="73" spans="1:28" s="89" customFormat="1" ht="15" x14ac:dyDescent="0.25">
      <c r="A73" s="56">
        <v>8</v>
      </c>
      <c r="B73" s="57"/>
      <c r="C73" s="57"/>
      <c r="D73" s="58" t="s">
        <v>99</v>
      </c>
      <c r="E73" s="57"/>
      <c r="F73" s="57"/>
      <c r="G73" s="59"/>
      <c r="H73" s="60"/>
      <c r="I73" s="59"/>
      <c r="J73" s="61">
        <f>SUM(J74:J105)</f>
        <v>24516.490435999996</v>
      </c>
      <c r="K73" s="87"/>
      <c r="L73" s="115"/>
      <c r="M73" s="88"/>
    </row>
    <row r="74" spans="1:28" s="117" customFormat="1" ht="28.5" x14ac:dyDescent="0.25">
      <c r="A74" s="69" t="s">
        <v>394</v>
      </c>
      <c r="B74" s="44" t="s">
        <v>19</v>
      </c>
      <c r="C74" s="44">
        <v>91955</v>
      </c>
      <c r="D74" s="48" t="s">
        <v>174</v>
      </c>
      <c r="E74" s="42" t="s">
        <v>270</v>
      </c>
      <c r="F74" s="70">
        <v>2</v>
      </c>
      <c r="G74" s="70">
        <v>30.76</v>
      </c>
      <c r="H74" s="71">
        <f>[3]BDI!F$25</f>
        <v>0.27079999999999999</v>
      </c>
      <c r="I74" s="45">
        <f t="shared" ref="I74:I105" si="27">G74*(1+H74)</f>
        <v>39.089807999999998</v>
      </c>
      <c r="J74" s="47">
        <f t="shared" ref="J74:J105" si="28">I74*F74</f>
        <v>78.179615999999996</v>
      </c>
      <c r="K74" s="87"/>
      <c r="L74" s="116"/>
      <c r="M74" s="114"/>
    </row>
    <row r="75" spans="1:28" s="14" customFormat="1" ht="28.5" x14ac:dyDescent="0.25">
      <c r="A75" s="69" t="s">
        <v>395</v>
      </c>
      <c r="B75" s="44" t="s">
        <v>19</v>
      </c>
      <c r="C75" s="44">
        <v>91963</v>
      </c>
      <c r="D75" s="48" t="s">
        <v>293</v>
      </c>
      <c r="E75" s="42" t="s">
        <v>270</v>
      </c>
      <c r="F75" s="70">
        <v>1</v>
      </c>
      <c r="G75" s="70">
        <v>64.900000000000006</v>
      </c>
      <c r="H75" s="71">
        <f>[3]BDI!F$25</f>
        <v>0.27079999999999999</v>
      </c>
      <c r="I75" s="45">
        <v>62.27</v>
      </c>
      <c r="J75" s="47">
        <f>I75*F75</f>
        <v>62.27</v>
      </c>
      <c r="K75" s="87"/>
      <c r="L75" s="116"/>
      <c r="M75" s="114"/>
      <c r="N75" s="117"/>
      <c r="O75" s="117"/>
      <c r="P75" s="117"/>
      <c r="Q75" s="117"/>
      <c r="R75" s="117"/>
      <c r="S75" s="117"/>
      <c r="T75" s="117"/>
      <c r="U75" s="117"/>
      <c r="V75" s="117"/>
      <c r="W75" s="117"/>
      <c r="X75" s="117"/>
      <c r="Y75" s="117"/>
      <c r="Z75" s="117"/>
      <c r="AA75" s="117"/>
      <c r="AB75" s="117"/>
    </row>
    <row r="76" spans="1:28" s="117" customFormat="1" ht="28.5" x14ac:dyDescent="0.25">
      <c r="A76" s="69" t="s">
        <v>396</v>
      </c>
      <c r="B76" s="44" t="s">
        <v>19</v>
      </c>
      <c r="C76" s="44">
        <v>91961</v>
      </c>
      <c r="D76" s="48" t="s">
        <v>175</v>
      </c>
      <c r="E76" s="42" t="s">
        <v>270</v>
      </c>
      <c r="F76" s="70">
        <v>1</v>
      </c>
      <c r="G76" s="70">
        <v>50.99</v>
      </c>
      <c r="H76" s="71">
        <f>[3]BDI!F$25</f>
        <v>0.27079999999999999</v>
      </c>
      <c r="I76" s="45">
        <f t="shared" si="27"/>
        <v>64.798091999999997</v>
      </c>
      <c r="J76" s="47">
        <f t="shared" si="28"/>
        <v>64.798091999999997</v>
      </c>
      <c r="K76" s="87"/>
      <c r="L76" s="116"/>
      <c r="M76" s="114"/>
    </row>
    <row r="77" spans="1:28" s="14" customFormat="1" ht="28.5" x14ac:dyDescent="0.25">
      <c r="A77" s="69" t="s">
        <v>397</v>
      </c>
      <c r="B77" s="44" t="s">
        <v>19</v>
      </c>
      <c r="C77" s="44">
        <v>91953</v>
      </c>
      <c r="D77" s="48" t="s">
        <v>176</v>
      </c>
      <c r="E77" s="42" t="s">
        <v>270</v>
      </c>
      <c r="F77" s="70">
        <v>7</v>
      </c>
      <c r="G77" s="70">
        <v>24.76</v>
      </c>
      <c r="H77" s="71">
        <f>[3]BDI!F$25</f>
        <v>0.27079999999999999</v>
      </c>
      <c r="I77" s="45">
        <f t="shared" si="27"/>
        <v>31.465008000000001</v>
      </c>
      <c r="J77" s="47">
        <f t="shared" si="28"/>
        <v>220.255056</v>
      </c>
      <c r="K77" s="87"/>
      <c r="L77" s="116"/>
      <c r="M77" s="114"/>
      <c r="N77" s="117"/>
      <c r="O77" s="117"/>
      <c r="P77" s="117"/>
      <c r="Q77" s="117"/>
      <c r="R77" s="117"/>
      <c r="S77" s="117"/>
      <c r="T77" s="117"/>
      <c r="U77" s="117"/>
      <c r="V77" s="117"/>
      <c r="W77" s="117"/>
      <c r="X77" s="117"/>
      <c r="Y77" s="117"/>
      <c r="Z77" s="117"/>
      <c r="AA77" s="117"/>
      <c r="AB77" s="117"/>
    </row>
    <row r="78" spans="1:28" s="117" customFormat="1" ht="28.5" x14ac:dyDescent="0.25">
      <c r="A78" s="69" t="s">
        <v>398</v>
      </c>
      <c r="B78" s="44" t="s">
        <v>19</v>
      </c>
      <c r="C78" s="44">
        <v>92026</v>
      </c>
      <c r="D78" s="48" t="s">
        <v>294</v>
      </c>
      <c r="E78" s="42" t="s">
        <v>270</v>
      </c>
      <c r="F78" s="70">
        <v>1</v>
      </c>
      <c r="G78" s="70">
        <v>50.87</v>
      </c>
      <c r="H78" s="71">
        <f>[3]BDI!F$25</f>
        <v>0.27079999999999999</v>
      </c>
      <c r="I78" s="45">
        <f t="shared" ref="I78" si="29">G78*(1+H78)</f>
        <v>64.645595999999998</v>
      </c>
      <c r="J78" s="47">
        <f t="shared" ref="J78" si="30">I78*F78</f>
        <v>64.645595999999998</v>
      </c>
      <c r="K78" s="87"/>
      <c r="L78" s="116"/>
      <c r="M78" s="114"/>
    </row>
    <row r="79" spans="1:28" s="14" customFormat="1" ht="28.5" x14ac:dyDescent="0.25">
      <c r="A79" s="69" t="s">
        <v>399</v>
      </c>
      <c r="B79" s="44" t="s">
        <v>19</v>
      </c>
      <c r="C79" s="44">
        <v>92023</v>
      </c>
      <c r="D79" s="48" t="s">
        <v>177</v>
      </c>
      <c r="E79" s="42" t="s">
        <v>270</v>
      </c>
      <c r="F79" s="70">
        <v>12</v>
      </c>
      <c r="G79" s="70">
        <v>44.03</v>
      </c>
      <c r="H79" s="71">
        <f>[3]BDI!F$25</f>
        <v>0.27079999999999999</v>
      </c>
      <c r="I79" s="45">
        <f t="shared" si="27"/>
        <v>55.953323999999995</v>
      </c>
      <c r="J79" s="47">
        <f t="shared" si="28"/>
        <v>671.43988799999988</v>
      </c>
      <c r="K79" s="87"/>
      <c r="L79" s="116"/>
      <c r="M79" s="114"/>
      <c r="N79" s="117"/>
      <c r="O79" s="117"/>
      <c r="P79" s="117"/>
      <c r="Q79" s="117"/>
      <c r="R79" s="117"/>
      <c r="S79" s="117"/>
      <c r="T79" s="117"/>
      <c r="U79" s="117"/>
      <c r="V79" s="117"/>
      <c r="W79" s="117"/>
      <c r="X79" s="117"/>
      <c r="Y79" s="117"/>
      <c r="Z79" s="117"/>
      <c r="AA79" s="117"/>
      <c r="AB79" s="117"/>
    </row>
    <row r="80" spans="1:28" s="117" customFormat="1" ht="28.5" x14ac:dyDescent="0.25">
      <c r="A80" s="69" t="s">
        <v>400</v>
      </c>
      <c r="B80" s="44" t="s">
        <v>19</v>
      </c>
      <c r="C80" s="44">
        <v>91992</v>
      </c>
      <c r="D80" s="48" t="s">
        <v>295</v>
      </c>
      <c r="E80" s="42" t="s">
        <v>270</v>
      </c>
      <c r="F80" s="70">
        <v>1</v>
      </c>
      <c r="G80" s="70">
        <v>39.33</v>
      </c>
      <c r="H80" s="71">
        <f>[3]BDI!F$25</f>
        <v>0.27079999999999999</v>
      </c>
      <c r="I80" s="45">
        <f t="shared" ref="I80" si="31">G80*(1+H80)</f>
        <v>49.980563999999994</v>
      </c>
      <c r="J80" s="47">
        <f t="shared" ref="J80" si="32">I80*F80</f>
        <v>49.980563999999994</v>
      </c>
      <c r="K80" s="87"/>
      <c r="L80" s="116"/>
      <c r="M80" s="114"/>
    </row>
    <row r="81" spans="1:28" s="14" customFormat="1" ht="28.5" x14ac:dyDescent="0.25">
      <c r="A81" s="69" t="s">
        <v>401</v>
      </c>
      <c r="B81" s="44" t="s">
        <v>19</v>
      </c>
      <c r="C81" s="44">
        <v>91996</v>
      </c>
      <c r="D81" s="48" t="s">
        <v>178</v>
      </c>
      <c r="E81" s="42" t="s">
        <v>270</v>
      </c>
      <c r="F81" s="70">
        <v>22</v>
      </c>
      <c r="G81" s="70">
        <v>29.79</v>
      </c>
      <c r="H81" s="71">
        <f>[3]BDI!F$25</f>
        <v>0.27079999999999999</v>
      </c>
      <c r="I81" s="45">
        <f t="shared" si="27"/>
        <v>37.857132</v>
      </c>
      <c r="J81" s="47">
        <f t="shared" si="28"/>
        <v>832.85690399999999</v>
      </c>
      <c r="K81" s="87"/>
      <c r="L81" s="116"/>
      <c r="M81" s="114"/>
      <c r="N81" s="117"/>
      <c r="O81" s="117"/>
      <c r="P81" s="117"/>
      <c r="Q81" s="117"/>
      <c r="R81" s="117"/>
      <c r="S81" s="117"/>
      <c r="T81" s="117"/>
      <c r="U81" s="117"/>
      <c r="V81" s="117"/>
      <c r="W81" s="117"/>
      <c r="X81" s="117"/>
      <c r="Y81" s="117"/>
      <c r="Z81" s="117"/>
      <c r="AA81" s="117"/>
      <c r="AB81" s="117"/>
    </row>
    <row r="82" spans="1:28" s="14" customFormat="1" ht="28.5" x14ac:dyDescent="0.25">
      <c r="A82" s="69" t="s">
        <v>402</v>
      </c>
      <c r="B82" s="44" t="s">
        <v>19</v>
      </c>
      <c r="C82" s="44">
        <v>92000</v>
      </c>
      <c r="D82" s="48" t="s">
        <v>179</v>
      </c>
      <c r="E82" s="42" t="s">
        <v>270</v>
      </c>
      <c r="F82" s="70">
        <v>6</v>
      </c>
      <c r="G82" s="70">
        <v>26.08</v>
      </c>
      <c r="H82" s="71">
        <f>[3]BDI!F$25</f>
        <v>0.27079999999999999</v>
      </c>
      <c r="I82" s="45">
        <f t="shared" si="27"/>
        <v>33.142463999999997</v>
      </c>
      <c r="J82" s="47">
        <f t="shared" si="28"/>
        <v>198.854784</v>
      </c>
      <c r="K82" s="87"/>
      <c r="L82" s="116"/>
      <c r="M82" s="114"/>
      <c r="N82" s="117"/>
      <c r="O82" s="117"/>
      <c r="P82" s="117"/>
      <c r="Q82" s="117"/>
      <c r="R82" s="117"/>
      <c r="S82" s="117"/>
      <c r="T82" s="117"/>
      <c r="U82" s="117"/>
      <c r="V82" s="117"/>
      <c r="W82" s="117"/>
      <c r="X82" s="117"/>
      <c r="Y82" s="117"/>
      <c r="Z82" s="117"/>
      <c r="AA82" s="117"/>
      <c r="AB82" s="117"/>
    </row>
    <row r="83" spans="1:28" s="14" customFormat="1" ht="28.5" x14ac:dyDescent="0.25">
      <c r="A83" s="69" t="s">
        <v>403</v>
      </c>
      <c r="B83" s="44" t="s">
        <v>19</v>
      </c>
      <c r="C83" s="44">
        <v>92004</v>
      </c>
      <c r="D83" s="48" t="s">
        <v>180</v>
      </c>
      <c r="E83" s="42" t="s">
        <v>270</v>
      </c>
      <c r="F83" s="70">
        <v>8</v>
      </c>
      <c r="G83" s="70">
        <v>49.05</v>
      </c>
      <c r="H83" s="71">
        <f>[3]BDI!F$25</f>
        <v>0.27079999999999999</v>
      </c>
      <c r="I83" s="45">
        <f t="shared" si="27"/>
        <v>62.332739999999994</v>
      </c>
      <c r="J83" s="47">
        <f t="shared" si="28"/>
        <v>498.66191999999995</v>
      </c>
      <c r="K83" s="87"/>
      <c r="L83" s="116"/>
      <c r="M83" s="114"/>
      <c r="N83" s="117"/>
      <c r="O83" s="117"/>
      <c r="P83" s="117"/>
      <c r="Q83" s="117"/>
      <c r="R83" s="117"/>
      <c r="S83" s="117"/>
      <c r="T83" s="117"/>
      <c r="U83" s="117"/>
      <c r="V83" s="117"/>
      <c r="W83" s="117"/>
      <c r="X83" s="117"/>
      <c r="Y83" s="117"/>
      <c r="Z83" s="117"/>
      <c r="AA83" s="117"/>
      <c r="AB83" s="117"/>
    </row>
    <row r="84" spans="1:28" s="14" customFormat="1" ht="28.5" x14ac:dyDescent="0.25">
      <c r="A84" s="69" t="s">
        <v>404</v>
      </c>
      <c r="B84" s="44" t="s">
        <v>19</v>
      </c>
      <c r="C84" s="44">
        <v>92008</v>
      </c>
      <c r="D84" s="48" t="s">
        <v>181</v>
      </c>
      <c r="E84" s="42" t="s">
        <v>270</v>
      </c>
      <c r="F84" s="70">
        <v>23</v>
      </c>
      <c r="G84" s="70">
        <v>41.64</v>
      </c>
      <c r="H84" s="71">
        <f>[3]BDI!F$25</f>
        <v>0.27079999999999999</v>
      </c>
      <c r="I84" s="45">
        <f t="shared" si="27"/>
        <v>52.916111999999998</v>
      </c>
      <c r="J84" s="47">
        <f t="shared" si="28"/>
        <v>1217.0705760000001</v>
      </c>
      <c r="K84" s="87"/>
      <c r="L84" s="116"/>
      <c r="M84" s="114"/>
      <c r="N84" s="117"/>
      <c r="O84" s="117"/>
      <c r="P84" s="117"/>
      <c r="Q84" s="117"/>
      <c r="R84" s="117"/>
      <c r="S84" s="117"/>
      <c r="T84" s="117"/>
      <c r="U84" s="117"/>
      <c r="V84" s="117"/>
      <c r="W84" s="117"/>
      <c r="X84" s="117"/>
      <c r="Y84" s="117"/>
      <c r="Z84" s="117"/>
      <c r="AA84" s="117"/>
      <c r="AB84" s="117"/>
    </row>
    <row r="85" spans="1:28" s="14" customFormat="1" ht="28.5" x14ac:dyDescent="0.25">
      <c r="A85" s="69" t="s">
        <v>405</v>
      </c>
      <c r="B85" s="44" t="s">
        <v>19</v>
      </c>
      <c r="C85" s="44">
        <v>92016</v>
      </c>
      <c r="D85" s="48" t="s">
        <v>182</v>
      </c>
      <c r="E85" s="42" t="s">
        <v>270</v>
      </c>
      <c r="F85" s="70">
        <v>3</v>
      </c>
      <c r="G85" s="70">
        <v>57.19</v>
      </c>
      <c r="H85" s="71">
        <f>[3]BDI!F$25</f>
        <v>0.27079999999999999</v>
      </c>
      <c r="I85" s="45">
        <f t="shared" si="27"/>
        <v>72.677051999999989</v>
      </c>
      <c r="J85" s="47">
        <f t="shared" si="28"/>
        <v>218.03115599999995</v>
      </c>
      <c r="K85" s="87"/>
      <c r="L85" s="116"/>
      <c r="M85" s="114"/>
      <c r="N85" s="117"/>
      <c r="O85" s="117"/>
      <c r="P85" s="117"/>
      <c r="Q85" s="117"/>
      <c r="R85" s="117"/>
      <c r="S85" s="117"/>
      <c r="T85" s="117"/>
      <c r="U85" s="117"/>
      <c r="V85" s="117"/>
      <c r="W85" s="117"/>
      <c r="X85" s="117"/>
      <c r="Y85" s="117"/>
      <c r="Z85" s="117"/>
      <c r="AA85" s="117"/>
      <c r="AB85" s="117"/>
    </row>
    <row r="86" spans="1:28" s="14" customFormat="1" ht="13.5" customHeight="1" x14ac:dyDescent="0.25">
      <c r="A86" s="69" t="s">
        <v>406</v>
      </c>
      <c r="B86" s="44" t="s">
        <v>19</v>
      </c>
      <c r="C86" s="44">
        <v>97605</v>
      </c>
      <c r="D86" s="48" t="s">
        <v>183</v>
      </c>
      <c r="E86" s="42" t="s">
        <v>270</v>
      </c>
      <c r="F86" s="70">
        <v>5</v>
      </c>
      <c r="G86" s="70">
        <v>69.81</v>
      </c>
      <c r="H86" s="71">
        <f>[3]BDI!F$25</f>
        <v>0.27079999999999999</v>
      </c>
      <c r="I86" s="45">
        <f t="shared" si="27"/>
        <v>88.714547999999994</v>
      </c>
      <c r="J86" s="47">
        <f t="shared" si="28"/>
        <v>443.57273999999995</v>
      </c>
      <c r="K86" s="87"/>
      <c r="L86" s="116"/>
      <c r="M86" s="114"/>
      <c r="N86" s="117"/>
      <c r="O86" s="117"/>
      <c r="P86" s="117"/>
      <c r="Q86" s="117"/>
      <c r="R86" s="117"/>
      <c r="S86" s="117"/>
      <c r="T86" s="117"/>
      <c r="U86" s="117"/>
      <c r="V86" s="117"/>
      <c r="W86" s="117"/>
      <c r="X86" s="117"/>
      <c r="Y86" s="117"/>
      <c r="Z86" s="117"/>
      <c r="AA86" s="117"/>
      <c r="AB86" s="117"/>
    </row>
    <row r="87" spans="1:28" s="14" customFormat="1" ht="28.5" x14ac:dyDescent="0.25">
      <c r="A87" s="69" t="s">
        <v>407</v>
      </c>
      <c r="B87" s="44" t="s">
        <v>19</v>
      </c>
      <c r="C87" s="44">
        <v>97586</v>
      </c>
      <c r="D87" s="48" t="s">
        <v>184</v>
      </c>
      <c r="E87" s="42" t="s">
        <v>270</v>
      </c>
      <c r="F87" s="70">
        <v>28</v>
      </c>
      <c r="G87" s="70">
        <v>82.24</v>
      </c>
      <c r="H87" s="71">
        <f>[3]BDI!F$25</f>
        <v>0.27079999999999999</v>
      </c>
      <c r="I87" s="45">
        <f t="shared" si="27"/>
        <v>104.51059199999999</v>
      </c>
      <c r="J87" s="47">
        <f t="shared" si="28"/>
        <v>2926.2965759999997</v>
      </c>
      <c r="K87" s="87"/>
      <c r="L87" s="116"/>
      <c r="M87" s="114"/>
      <c r="N87" s="117"/>
      <c r="O87" s="117"/>
      <c r="P87" s="117"/>
      <c r="Q87" s="117"/>
      <c r="R87" s="117"/>
      <c r="S87" s="117"/>
      <c r="T87" s="117"/>
      <c r="U87" s="117"/>
      <c r="V87" s="117"/>
      <c r="W87" s="117"/>
      <c r="X87" s="117"/>
      <c r="Y87" s="117"/>
      <c r="Z87" s="117"/>
      <c r="AA87" s="117"/>
      <c r="AB87" s="117"/>
    </row>
    <row r="88" spans="1:28" s="14" customFormat="1" ht="28.5" x14ac:dyDescent="0.25">
      <c r="A88" s="69" t="s">
        <v>408</v>
      </c>
      <c r="B88" s="44" t="s">
        <v>19</v>
      </c>
      <c r="C88" s="44">
        <v>97589</v>
      </c>
      <c r="D88" s="48" t="s">
        <v>185</v>
      </c>
      <c r="E88" s="42" t="s">
        <v>270</v>
      </c>
      <c r="F88" s="70">
        <v>12</v>
      </c>
      <c r="G88" s="70">
        <v>33.28</v>
      </c>
      <c r="H88" s="71">
        <f>[3]BDI!F$25</f>
        <v>0.27079999999999999</v>
      </c>
      <c r="I88" s="45">
        <f t="shared" si="27"/>
        <v>42.292223999999997</v>
      </c>
      <c r="J88" s="47">
        <f t="shared" si="28"/>
        <v>507.50668799999994</v>
      </c>
      <c r="K88" s="87"/>
      <c r="L88" s="116"/>
      <c r="M88" s="114"/>
      <c r="N88" s="117"/>
      <c r="O88" s="117"/>
      <c r="P88" s="117"/>
      <c r="Q88" s="117"/>
      <c r="R88" s="117"/>
      <c r="S88" s="117"/>
      <c r="T88" s="117"/>
      <c r="U88" s="117"/>
      <c r="V88" s="117"/>
      <c r="W88" s="117"/>
      <c r="X88" s="117"/>
      <c r="Y88" s="117"/>
      <c r="Z88" s="117"/>
      <c r="AA88" s="117"/>
      <c r="AB88" s="117"/>
    </row>
    <row r="89" spans="1:28" s="14" customFormat="1" x14ac:dyDescent="0.25">
      <c r="A89" s="69" t="s">
        <v>409</v>
      </c>
      <c r="B89" s="44" t="s">
        <v>19</v>
      </c>
      <c r="C89" s="44">
        <v>9535</v>
      </c>
      <c r="D89" s="48" t="s">
        <v>186</v>
      </c>
      <c r="E89" s="42" t="s">
        <v>270</v>
      </c>
      <c r="F89" s="70">
        <v>4</v>
      </c>
      <c r="G89" s="70">
        <v>64.180000000000007</v>
      </c>
      <c r="H89" s="71">
        <f>[3]BDI!F$25</f>
        <v>0.27079999999999999</v>
      </c>
      <c r="I89" s="45">
        <f t="shared" si="27"/>
        <v>81.559944000000002</v>
      </c>
      <c r="J89" s="47">
        <f t="shared" si="28"/>
        <v>326.23977600000001</v>
      </c>
      <c r="K89" s="87"/>
      <c r="L89" s="116"/>
      <c r="M89" s="114"/>
      <c r="N89" s="117"/>
      <c r="O89" s="117"/>
      <c r="P89" s="117"/>
      <c r="Q89" s="117"/>
      <c r="R89" s="117"/>
      <c r="S89" s="117"/>
      <c r="T89" s="117"/>
      <c r="U89" s="117"/>
      <c r="V89" s="117"/>
      <c r="W89" s="117"/>
      <c r="X89" s="117"/>
      <c r="Y89" s="117"/>
      <c r="Z89" s="117"/>
      <c r="AA89" s="117"/>
      <c r="AB89" s="117"/>
    </row>
    <row r="90" spans="1:28" s="14" customFormat="1" ht="28.5" x14ac:dyDescent="0.25">
      <c r="A90" s="69" t="s">
        <v>410</v>
      </c>
      <c r="B90" s="44" t="s">
        <v>19</v>
      </c>
      <c r="C90" s="44">
        <v>91844</v>
      </c>
      <c r="D90" s="48" t="s">
        <v>198</v>
      </c>
      <c r="E90" s="44" t="s">
        <v>271</v>
      </c>
      <c r="F90" s="70">
        <v>600</v>
      </c>
      <c r="G90" s="70">
        <v>5.81</v>
      </c>
      <c r="H90" s="71">
        <f>[3]BDI!F$25</f>
        <v>0.27079999999999999</v>
      </c>
      <c r="I90" s="45">
        <f t="shared" si="27"/>
        <v>7.3833479999999989</v>
      </c>
      <c r="J90" s="47">
        <f t="shared" si="28"/>
        <v>4430.0087999999996</v>
      </c>
      <c r="K90" s="87"/>
      <c r="L90" s="116"/>
      <c r="M90" s="114"/>
      <c r="N90" s="117"/>
      <c r="O90" s="117"/>
      <c r="P90" s="117"/>
      <c r="Q90" s="117"/>
      <c r="R90" s="117"/>
      <c r="S90" s="117"/>
      <c r="T90" s="117"/>
      <c r="U90" s="117"/>
      <c r="V90" s="117"/>
      <c r="W90" s="117"/>
      <c r="X90" s="117"/>
      <c r="Y90" s="117"/>
      <c r="Z90" s="117"/>
      <c r="AA90" s="117"/>
      <c r="AB90" s="117"/>
    </row>
    <row r="91" spans="1:28" s="117" customFormat="1" ht="28.5" x14ac:dyDescent="0.25">
      <c r="A91" s="69" t="s">
        <v>411</v>
      </c>
      <c r="B91" s="44" t="s">
        <v>19</v>
      </c>
      <c r="C91" s="44">
        <v>91846</v>
      </c>
      <c r="D91" s="48" t="s">
        <v>199</v>
      </c>
      <c r="E91" s="44" t="s">
        <v>271</v>
      </c>
      <c r="F91" s="70">
        <v>80</v>
      </c>
      <c r="G91" s="70">
        <v>7.81</v>
      </c>
      <c r="H91" s="71">
        <f>[3]BDI!F$25</f>
        <v>0.27079999999999999</v>
      </c>
      <c r="I91" s="45">
        <f t="shared" si="27"/>
        <v>9.9249479999999988</v>
      </c>
      <c r="J91" s="47">
        <f t="shared" si="28"/>
        <v>793.99583999999993</v>
      </c>
      <c r="K91" s="87"/>
      <c r="L91" s="116"/>
      <c r="M91" s="114"/>
    </row>
    <row r="92" spans="1:28" s="14" customFormat="1" ht="28.5" x14ac:dyDescent="0.25">
      <c r="A92" s="69" t="s">
        <v>412</v>
      </c>
      <c r="B92" s="44" t="s">
        <v>19</v>
      </c>
      <c r="C92" s="44">
        <v>91924</v>
      </c>
      <c r="D92" s="48" t="s">
        <v>187</v>
      </c>
      <c r="E92" s="44" t="s">
        <v>271</v>
      </c>
      <c r="F92" s="70">
        <v>800</v>
      </c>
      <c r="G92" s="70">
        <v>2.04</v>
      </c>
      <c r="H92" s="71">
        <f>[3]BDI!F$25</f>
        <v>0.27079999999999999</v>
      </c>
      <c r="I92" s="45">
        <f t="shared" si="27"/>
        <v>2.5924320000000001</v>
      </c>
      <c r="J92" s="47">
        <f t="shared" si="28"/>
        <v>2073.9456</v>
      </c>
      <c r="K92" s="87"/>
      <c r="L92" s="116"/>
      <c r="M92" s="114"/>
      <c r="N92" s="117"/>
      <c r="O92" s="117"/>
      <c r="P92" s="117"/>
      <c r="Q92" s="117"/>
      <c r="R92" s="117"/>
      <c r="S92" s="117"/>
      <c r="T92" s="117"/>
      <c r="U92" s="117"/>
      <c r="V92" s="117"/>
      <c r="W92" s="117"/>
      <c r="X92" s="117"/>
      <c r="Y92" s="117"/>
      <c r="Z92" s="117"/>
      <c r="AA92" s="117"/>
      <c r="AB92" s="117"/>
    </row>
    <row r="93" spans="1:28" s="14" customFormat="1" ht="28.5" x14ac:dyDescent="0.25">
      <c r="A93" s="69" t="s">
        <v>413</v>
      </c>
      <c r="B93" s="44" t="s">
        <v>19</v>
      </c>
      <c r="C93" s="44">
        <v>91926</v>
      </c>
      <c r="D93" s="48" t="s">
        <v>188</v>
      </c>
      <c r="E93" s="44" t="s">
        <v>271</v>
      </c>
      <c r="F93" s="70">
        <v>800</v>
      </c>
      <c r="G93" s="70">
        <v>2.89</v>
      </c>
      <c r="H93" s="71">
        <f>[3]BDI!F$25</f>
        <v>0.27079999999999999</v>
      </c>
      <c r="I93" s="45">
        <f t="shared" si="27"/>
        <v>3.672612</v>
      </c>
      <c r="J93" s="47">
        <f t="shared" si="28"/>
        <v>2938.0895999999998</v>
      </c>
      <c r="K93" s="87"/>
      <c r="L93" s="116"/>
      <c r="M93" s="114"/>
      <c r="N93" s="117"/>
      <c r="O93" s="117"/>
      <c r="P93" s="117"/>
      <c r="Q93" s="117"/>
      <c r="R93" s="117"/>
      <c r="S93" s="117"/>
      <c r="T93" s="117"/>
      <c r="U93" s="117"/>
      <c r="V93" s="117"/>
      <c r="W93" s="117"/>
      <c r="X93" s="117"/>
      <c r="Y93" s="117"/>
      <c r="Z93" s="117"/>
      <c r="AA93" s="117"/>
      <c r="AB93" s="117"/>
    </row>
    <row r="94" spans="1:28" s="14" customFormat="1" ht="28.5" x14ac:dyDescent="0.25">
      <c r="A94" s="69" t="s">
        <v>414</v>
      </c>
      <c r="B94" s="44" t="s">
        <v>19</v>
      </c>
      <c r="C94" s="44">
        <v>91928</v>
      </c>
      <c r="D94" s="48" t="s">
        <v>189</v>
      </c>
      <c r="E94" s="44" t="s">
        <v>271</v>
      </c>
      <c r="F94" s="70">
        <v>100</v>
      </c>
      <c r="G94" s="70">
        <v>4.4400000000000004</v>
      </c>
      <c r="H94" s="71">
        <f>[3]BDI!F$25</f>
        <v>0.27079999999999999</v>
      </c>
      <c r="I94" s="45">
        <f t="shared" si="27"/>
        <v>5.6423519999999998</v>
      </c>
      <c r="J94" s="47">
        <f t="shared" si="28"/>
        <v>564.23519999999996</v>
      </c>
      <c r="K94" s="87"/>
      <c r="L94" s="116"/>
      <c r="M94" s="114"/>
      <c r="N94" s="117"/>
      <c r="O94" s="117"/>
      <c r="P94" s="117"/>
      <c r="Q94" s="117"/>
      <c r="R94" s="117"/>
      <c r="S94" s="117"/>
      <c r="T94" s="117"/>
      <c r="U94" s="117"/>
      <c r="V94" s="117"/>
      <c r="W94" s="117"/>
      <c r="X94" s="117"/>
      <c r="Y94" s="117"/>
      <c r="Z94" s="117"/>
      <c r="AA94" s="117"/>
      <c r="AB94" s="117"/>
    </row>
    <row r="95" spans="1:28" s="14" customFormat="1" ht="28.5" x14ac:dyDescent="0.25">
      <c r="A95" s="69" t="s">
        <v>415</v>
      </c>
      <c r="B95" s="44" t="s">
        <v>19</v>
      </c>
      <c r="C95" s="44">
        <v>91930</v>
      </c>
      <c r="D95" s="48" t="s">
        <v>190</v>
      </c>
      <c r="E95" s="44" t="s">
        <v>271</v>
      </c>
      <c r="F95" s="70">
        <v>150</v>
      </c>
      <c r="G95" s="70">
        <v>6</v>
      </c>
      <c r="H95" s="71">
        <f>[3]BDI!F$25</f>
        <v>0.27079999999999999</v>
      </c>
      <c r="I95" s="45">
        <f t="shared" si="27"/>
        <v>7.6247999999999996</v>
      </c>
      <c r="J95" s="47">
        <f t="shared" si="28"/>
        <v>1143.72</v>
      </c>
      <c r="K95" s="87"/>
      <c r="L95" s="116"/>
      <c r="M95" s="114"/>
      <c r="N95" s="117"/>
      <c r="O95" s="117"/>
      <c r="P95" s="117"/>
      <c r="Q95" s="117"/>
      <c r="R95" s="117"/>
      <c r="S95" s="117"/>
      <c r="T95" s="117"/>
      <c r="U95" s="117"/>
      <c r="V95" s="117"/>
      <c r="W95" s="117"/>
      <c r="X95" s="117"/>
      <c r="Y95" s="117"/>
      <c r="Z95" s="117"/>
      <c r="AA95" s="117"/>
      <c r="AB95" s="117"/>
    </row>
    <row r="96" spans="1:28" s="117" customFormat="1" ht="42.75" x14ac:dyDescent="0.25">
      <c r="A96" s="69" t="s">
        <v>416</v>
      </c>
      <c r="B96" s="44" t="s">
        <v>19</v>
      </c>
      <c r="C96" s="44" t="s">
        <v>297</v>
      </c>
      <c r="D96" s="48" t="s">
        <v>191</v>
      </c>
      <c r="E96" s="44" t="s">
        <v>270</v>
      </c>
      <c r="F96" s="70">
        <v>2</v>
      </c>
      <c r="G96" s="240">
        <v>712.65</v>
      </c>
      <c r="H96" s="71">
        <f>[3]BDI!F$25</f>
        <v>0.27079999999999999</v>
      </c>
      <c r="I96" s="45">
        <f t="shared" si="27"/>
        <v>905.6356199999999</v>
      </c>
      <c r="J96" s="47">
        <f t="shared" si="28"/>
        <v>1811.2712399999998</v>
      </c>
      <c r="K96" s="87"/>
      <c r="L96" s="116"/>
      <c r="M96" s="114"/>
    </row>
    <row r="97" spans="1:28" s="14" customFormat="1" ht="28.5" x14ac:dyDescent="0.25">
      <c r="A97" s="69" t="s">
        <v>417</v>
      </c>
      <c r="B97" s="44" t="s">
        <v>19</v>
      </c>
      <c r="C97" s="44">
        <v>93653</v>
      </c>
      <c r="D97" s="48" t="s">
        <v>192</v>
      </c>
      <c r="E97" s="44" t="s">
        <v>270</v>
      </c>
      <c r="F97" s="70">
        <v>11</v>
      </c>
      <c r="G97" s="70">
        <v>10.64</v>
      </c>
      <c r="H97" s="71">
        <f>[3]BDI!F$25</f>
        <v>0.27079999999999999</v>
      </c>
      <c r="I97" s="45">
        <f t="shared" si="27"/>
        <v>13.521312</v>
      </c>
      <c r="J97" s="47">
        <f t="shared" si="28"/>
        <v>148.734432</v>
      </c>
      <c r="K97" s="87"/>
      <c r="L97" s="116"/>
      <c r="M97" s="114"/>
      <c r="N97" s="117"/>
      <c r="O97" s="117"/>
      <c r="P97" s="117"/>
      <c r="Q97" s="117"/>
      <c r="R97" s="117"/>
      <c r="S97" s="117"/>
      <c r="T97" s="117"/>
      <c r="U97" s="117"/>
      <c r="V97" s="117"/>
      <c r="W97" s="117"/>
      <c r="X97" s="117"/>
      <c r="Y97" s="117"/>
      <c r="Z97" s="117"/>
      <c r="AA97" s="117"/>
      <c r="AB97" s="117"/>
    </row>
    <row r="98" spans="1:28" s="14" customFormat="1" ht="28.5" x14ac:dyDescent="0.25">
      <c r="A98" s="69" t="s">
        <v>418</v>
      </c>
      <c r="B98" s="44" t="s">
        <v>19</v>
      </c>
      <c r="C98" s="44">
        <v>93654</v>
      </c>
      <c r="D98" s="48" t="s">
        <v>193</v>
      </c>
      <c r="E98" s="44" t="s">
        <v>270</v>
      </c>
      <c r="F98" s="70">
        <v>13</v>
      </c>
      <c r="G98" s="70">
        <v>11.3</v>
      </c>
      <c r="H98" s="71">
        <f>[3]BDI!F$25</f>
        <v>0.27079999999999999</v>
      </c>
      <c r="I98" s="45">
        <f t="shared" si="27"/>
        <v>14.36004</v>
      </c>
      <c r="J98" s="47">
        <f t="shared" si="28"/>
        <v>186.68052</v>
      </c>
      <c r="K98" s="87"/>
      <c r="L98" s="116"/>
      <c r="M98" s="114"/>
      <c r="N98" s="117"/>
      <c r="O98" s="117"/>
      <c r="P98" s="117"/>
      <c r="Q98" s="117"/>
      <c r="R98" s="117"/>
      <c r="S98" s="117"/>
      <c r="T98" s="117"/>
      <c r="U98" s="117"/>
      <c r="V98" s="117"/>
      <c r="W98" s="117"/>
      <c r="X98" s="117"/>
      <c r="Y98" s="117"/>
      <c r="Z98" s="117"/>
      <c r="AA98" s="117"/>
      <c r="AB98" s="117"/>
    </row>
    <row r="99" spans="1:28" s="14" customFormat="1" ht="28.5" x14ac:dyDescent="0.25">
      <c r="A99" s="69" t="s">
        <v>419</v>
      </c>
      <c r="B99" s="44" t="s">
        <v>19</v>
      </c>
      <c r="C99" s="44">
        <v>93655</v>
      </c>
      <c r="D99" s="48" t="s">
        <v>194</v>
      </c>
      <c r="E99" s="44" t="s">
        <v>270</v>
      </c>
      <c r="F99" s="70">
        <v>3</v>
      </c>
      <c r="G99" s="70">
        <v>12.37</v>
      </c>
      <c r="H99" s="71">
        <f>[3]BDI!F$25</f>
        <v>0.27079999999999999</v>
      </c>
      <c r="I99" s="45">
        <f t="shared" si="27"/>
        <v>15.719795999999999</v>
      </c>
      <c r="J99" s="47">
        <f t="shared" si="28"/>
        <v>47.159387999999993</v>
      </c>
      <c r="K99" s="87"/>
      <c r="L99" s="116"/>
      <c r="M99" s="114"/>
      <c r="N99" s="117"/>
      <c r="O99" s="117"/>
      <c r="P99" s="117"/>
      <c r="Q99" s="117"/>
      <c r="R99" s="117"/>
      <c r="S99" s="117"/>
      <c r="T99" s="117"/>
      <c r="U99" s="117"/>
      <c r="V99" s="117"/>
      <c r="W99" s="117"/>
      <c r="X99" s="117"/>
      <c r="Y99" s="117"/>
      <c r="Z99" s="117"/>
      <c r="AA99" s="117"/>
      <c r="AB99" s="117"/>
    </row>
    <row r="100" spans="1:28" s="14" customFormat="1" ht="28.5" x14ac:dyDescent="0.25">
      <c r="A100" s="69" t="s">
        <v>420</v>
      </c>
      <c r="B100" s="44" t="s">
        <v>19</v>
      </c>
      <c r="C100" s="44">
        <v>93657</v>
      </c>
      <c r="D100" s="48" t="s">
        <v>195</v>
      </c>
      <c r="E100" s="44" t="s">
        <v>270</v>
      </c>
      <c r="F100" s="70">
        <v>4</v>
      </c>
      <c r="G100" s="70">
        <v>13.77</v>
      </c>
      <c r="H100" s="71">
        <f>[3]BDI!F$25</f>
        <v>0.27079999999999999</v>
      </c>
      <c r="I100" s="45">
        <f t="shared" si="27"/>
        <v>17.498915999999998</v>
      </c>
      <c r="J100" s="47">
        <f t="shared" si="28"/>
        <v>69.995663999999991</v>
      </c>
      <c r="K100" s="87"/>
      <c r="L100" s="116"/>
      <c r="M100" s="114"/>
      <c r="N100" s="117"/>
      <c r="O100" s="117"/>
      <c r="P100" s="117"/>
      <c r="Q100" s="117"/>
      <c r="R100" s="117"/>
      <c r="S100" s="117"/>
      <c r="T100" s="117"/>
      <c r="U100" s="117"/>
      <c r="V100" s="117"/>
      <c r="W100" s="117"/>
      <c r="X100" s="117"/>
      <c r="Y100" s="117"/>
      <c r="Z100" s="117"/>
      <c r="AA100" s="117"/>
      <c r="AB100" s="117"/>
    </row>
    <row r="101" spans="1:28" s="117" customFormat="1" x14ac:dyDescent="0.25">
      <c r="A101" s="69" t="s">
        <v>421</v>
      </c>
      <c r="B101" s="304" t="s">
        <v>220</v>
      </c>
      <c r="C101" s="305"/>
      <c r="D101" s="48" t="s">
        <v>304</v>
      </c>
      <c r="E101" s="44" t="s">
        <v>270</v>
      </c>
      <c r="F101" s="70">
        <v>4</v>
      </c>
      <c r="G101" s="70">
        <f>'Gestão de Orçamentos '!C37</f>
        <v>55.63</v>
      </c>
      <c r="H101" s="71">
        <f>[3]BDI!F$25</f>
        <v>0.27079999999999999</v>
      </c>
      <c r="I101" s="45">
        <f t="shared" ref="I101" si="33">G101*(1+H101)</f>
        <v>70.694603999999998</v>
      </c>
      <c r="J101" s="47">
        <f t="shared" ref="J101" si="34">I101*F101</f>
        <v>282.77841599999999</v>
      </c>
      <c r="K101" s="87"/>
      <c r="L101" s="116"/>
      <c r="M101" s="114"/>
    </row>
    <row r="102" spans="1:28" s="117" customFormat="1" x14ac:dyDescent="0.25">
      <c r="A102" s="69" t="s">
        <v>422</v>
      </c>
      <c r="B102" s="304" t="s">
        <v>220</v>
      </c>
      <c r="C102" s="305"/>
      <c r="D102" s="48" t="s">
        <v>302</v>
      </c>
      <c r="E102" s="44" t="s">
        <v>270</v>
      </c>
      <c r="F102" s="70">
        <v>2</v>
      </c>
      <c r="G102" s="70">
        <f>'Gestão de Orçamentos '!C40</f>
        <v>89.23</v>
      </c>
      <c r="H102" s="71">
        <f>[3]BDI!F$25</f>
        <v>0.27079999999999999</v>
      </c>
      <c r="I102" s="45">
        <f t="shared" ref="I102:I103" si="35">G102*(1+H102)</f>
        <v>113.393484</v>
      </c>
      <c r="J102" s="47">
        <f t="shared" ref="J102:J103" si="36">I102*F102</f>
        <v>226.786968</v>
      </c>
      <c r="K102" s="87"/>
      <c r="L102" s="116"/>
      <c r="M102" s="114"/>
    </row>
    <row r="103" spans="1:28" s="117" customFormat="1" x14ac:dyDescent="0.25">
      <c r="A103" s="69" t="s">
        <v>423</v>
      </c>
      <c r="B103" s="304" t="s">
        <v>220</v>
      </c>
      <c r="C103" s="305"/>
      <c r="D103" s="48" t="s">
        <v>303</v>
      </c>
      <c r="E103" s="44" t="s">
        <v>270</v>
      </c>
      <c r="F103" s="70">
        <v>1</v>
      </c>
      <c r="G103" s="70">
        <f>'Gestão de Orçamentos '!C47</f>
        <v>94.82</v>
      </c>
      <c r="H103" s="71">
        <f>[3]BDI!F$25</f>
        <v>0.27079999999999999</v>
      </c>
      <c r="I103" s="45">
        <f t="shared" si="35"/>
        <v>120.49725599999998</v>
      </c>
      <c r="J103" s="47">
        <f t="shared" si="36"/>
        <v>120.49725599999998</v>
      </c>
      <c r="K103" s="87"/>
      <c r="L103" s="116"/>
      <c r="M103" s="114"/>
    </row>
    <row r="104" spans="1:28" s="203" customFormat="1" x14ac:dyDescent="0.25">
      <c r="A104" s="69" t="s">
        <v>424</v>
      </c>
      <c r="B104" s="80" t="s">
        <v>19</v>
      </c>
      <c r="C104" s="80">
        <v>98308</v>
      </c>
      <c r="D104" s="81" t="s">
        <v>196</v>
      </c>
      <c r="E104" s="80" t="s">
        <v>270</v>
      </c>
      <c r="F104" s="82">
        <v>13</v>
      </c>
      <c r="G104" s="82">
        <v>27.87</v>
      </c>
      <c r="H104" s="83">
        <f>[3]BDI!F$25</f>
        <v>0.27079999999999999</v>
      </c>
      <c r="I104" s="84">
        <f t="shared" si="27"/>
        <v>35.417195999999997</v>
      </c>
      <c r="J104" s="85">
        <f t="shared" si="28"/>
        <v>460.42354799999998</v>
      </c>
      <c r="K104" s="200"/>
      <c r="L104" s="201"/>
      <c r="M104" s="202"/>
    </row>
    <row r="105" spans="1:28" s="203" customFormat="1" ht="15" thickBot="1" x14ac:dyDescent="0.3">
      <c r="A105" s="69" t="s">
        <v>425</v>
      </c>
      <c r="B105" s="80" t="s">
        <v>19</v>
      </c>
      <c r="C105" s="80">
        <v>98307</v>
      </c>
      <c r="D105" s="81" t="s">
        <v>197</v>
      </c>
      <c r="E105" s="80" t="s">
        <v>270</v>
      </c>
      <c r="F105" s="82">
        <v>16</v>
      </c>
      <c r="G105" s="82">
        <v>41.19</v>
      </c>
      <c r="H105" s="83">
        <f>[3]BDI!F$25</f>
        <v>0.27079999999999999</v>
      </c>
      <c r="I105" s="84">
        <f t="shared" si="27"/>
        <v>52.344251999999997</v>
      </c>
      <c r="J105" s="85">
        <f t="shared" si="28"/>
        <v>837.50803199999996</v>
      </c>
      <c r="K105" s="200"/>
      <c r="L105" s="201"/>
      <c r="M105" s="202"/>
    </row>
    <row r="106" spans="1:28" s="10" customFormat="1" ht="15" x14ac:dyDescent="0.25">
      <c r="A106" s="35">
        <v>9</v>
      </c>
      <c r="B106" s="36"/>
      <c r="C106" s="36"/>
      <c r="D106" s="37" t="s">
        <v>246</v>
      </c>
      <c r="E106" s="36"/>
      <c r="F106" s="36"/>
      <c r="G106" s="38"/>
      <c r="H106" s="39"/>
      <c r="I106" s="38"/>
      <c r="J106" s="90">
        <f>SUM(J107:J109)</f>
        <v>3367.62</v>
      </c>
      <c r="K106" s="87"/>
      <c r="L106" s="115"/>
      <c r="M106" s="88"/>
      <c r="N106" s="89"/>
      <c r="O106" s="89"/>
      <c r="P106" s="89"/>
      <c r="Q106" s="89"/>
      <c r="R106" s="89"/>
      <c r="S106" s="89"/>
      <c r="T106" s="89"/>
      <c r="U106" s="89"/>
      <c r="V106" s="89"/>
      <c r="W106" s="89"/>
      <c r="X106" s="89"/>
      <c r="Y106" s="89"/>
      <c r="Z106" s="89"/>
      <c r="AA106" s="89"/>
      <c r="AB106" s="89"/>
    </row>
    <row r="107" spans="1:28" s="10" customFormat="1" x14ac:dyDescent="0.25">
      <c r="A107" s="69" t="s">
        <v>259</v>
      </c>
      <c r="B107" s="310" t="s">
        <v>219</v>
      </c>
      <c r="C107" s="311"/>
      <c r="D107" s="48" t="s">
        <v>388</v>
      </c>
      <c r="E107" s="44" t="s">
        <v>205</v>
      </c>
      <c r="F107" s="70">
        <v>4</v>
      </c>
      <c r="G107" s="70">
        <v>350</v>
      </c>
      <c r="H107" s="71">
        <f>[3]BDI!F$25</f>
        <v>0.27079999999999999</v>
      </c>
      <c r="I107" s="45">
        <f t="shared" ref="I107:I108" si="37">G107*(1+H107)</f>
        <v>444.78</v>
      </c>
      <c r="J107" s="47">
        <f t="shared" ref="J107:J108" si="38">I107*F107</f>
        <v>1779.12</v>
      </c>
      <c r="K107" s="87"/>
      <c r="L107" s="115"/>
      <c r="M107" s="88"/>
      <c r="N107" s="89"/>
      <c r="O107" s="89"/>
      <c r="P107" s="89"/>
      <c r="Q107" s="89"/>
      <c r="R107" s="89"/>
      <c r="S107" s="89"/>
      <c r="T107" s="89"/>
      <c r="U107" s="89"/>
      <c r="V107" s="89"/>
      <c r="W107" s="89"/>
      <c r="X107" s="89"/>
      <c r="Y107" s="89"/>
      <c r="Z107" s="89"/>
      <c r="AA107" s="89"/>
      <c r="AB107" s="89"/>
    </row>
    <row r="108" spans="1:28" s="10" customFormat="1" x14ac:dyDescent="0.25">
      <c r="A108" s="69" t="s">
        <v>260</v>
      </c>
      <c r="B108" s="310" t="s">
        <v>219</v>
      </c>
      <c r="C108" s="311"/>
      <c r="D108" s="48" t="s">
        <v>389</v>
      </c>
      <c r="E108" s="44" t="s">
        <v>205</v>
      </c>
      <c r="F108" s="70">
        <v>1</v>
      </c>
      <c r="G108" s="70">
        <v>350</v>
      </c>
      <c r="H108" s="71">
        <f>[3]BDI!F$25</f>
        <v>0.27079999999999999</v>
      </c>
      <c r="I108" s="45">
        <f t="shared" si="37"/>
        <v>444.78</v>
      </c>
      <c r="J108" s="47">
        <f t="shared" si="38"/>
        <v>444.78</v>
      </c>
      <c r="K108" s="87"/>
      <c r="L108" s="115"/>
      <c r="M108" s="88"/>
      <c r="N108" s="89"/>
      <c r="O108" s="89"/>
      <c r="P108" s="89"/>
      <c r="Q108" s="89"/>
      <c r="R108" s="89"/>
      <c r="S108" s="89"/>
      <c r="T108" s="89"/>
      <c r="U108" s="89"/>
      <c r="V108" s="89"/>
      <c r="W108" s="89"/>
      <c r="X108" s="89"/>
      <c r="Y108" s="89"/>
      <c r="Z108" s="89"/>
      <c r="AA108" s="89"/>
      <c r="AB108" s="89"/>
    </row>
    <row r="109" spans="1:28" s="10" customFormat="1" ht="15" thickBot="1" x14ac:dyDescent="0.3">
      <c r="A109" s="69" t="s">
        <v>261</v>
      </c>
      <c r="B109" s="310" t="s">
        <v>219</v>
      </c>
      <c r="C109" s="311"/>
      <c r="D109" s="48" t="s">
        <v>390</v>
      </c>
      <c r="E109" s="44" t="s">
        <v>205</v>
      </c>
      <c r="F109" s="70">
        <v>2</v>
      </c>
      <c r="G109" s="70">
        <v>450</v>
      </c>
      <c r="H109" s="71">
        <f>[3]BDI!F$25</f>
        <v>0.27079999999999999</v>
      </c>
      <c r="I109" s="45">
        <f t="shared" ref="I109" si="39">G109*(1+H109)</f>
        <v>571.86</v>
      </c>
      <c r="J109" s="47">
        <f t="shared" ref="J109" si="40">I109*F109</f>
        <v>1143.72</v>
      </c>
      <c r="K109" s="87"/>
      <c r="L109" s="115"/>
      <c r="M109" s="88"/>
      <c r="N109" s="89"/>
      <c r="O109" s="89"/>
      <c r="P109" s="89"/>
      <c r="Q109" s="89"/>
      <c r="R109" s="89"/>
      <c r="S109" s="89"/>
      <c r="T109" s="89"/>
      <c r="U109" s="89"/>
      <c r="V109" s="89"/>
      <c r="W109" s="89"/>
      <c r="X109" s="89"/>
      <c r="Y109" s="89"/>
      <c r="Z109" s="89"/>
      <c r="AA109" s="89"/>
      <c r="AB109" s="89"/>
    </row>
    <row r="110" spans="1:28" s="1" customFormat="1" ht="15" x14ac:dyDescent="0.25">
      <c r="A110" s="35">
        <v>10</v>
      </c>
      <c r="B110" s="36"/>
      <c r="C110" s="36"/>
      <c r="D110" s="37" t="s">
        <v>100</v>
      </c>
      <c r="E110" s="36"/>
      <c r="F110" s="36"/>
      <c r="G110" s="38"/>
      <c r="H110" s="39"/>
      <c r="I110" s="38"/>
      <c r="J110" s="90">
        <f>SUM(J111:J113)</f>
        <v>39155.444820000004</v>
      </c>
      <c r="K110" s="87"/>
      <c r="L110" s="115"/>
      <c r="M110" s="88"/>
      <c r="N110" s="89"/>
      <c r="O110" s="89"/>
      <c r="P110" s="89"/>
      <c r="Q110" s="89"/>
      <c r="R110" s="89"/>
      <c r="S110" s="89"/>
      <c r="T110" s="89"/>
      <c r="U110" s="89"/>
      <c r="V110" s="89"/>
      <c r="W110" s="89"/>
      <c r="X110" s="89"/>
      <c r="Y110" s="89"/>
      <c r="Z110" s="89"/>
      <c r="AA110" s="89"/>
      <c r="AB110" s="89"/>
    </row>
    <row r="111" spans="1:28" s="5" customFormat="1" x14ac:dyDescent="0.25">
      <c r="A111" s="69" t="s">
        <v>427</v>
      </c>
      <c r="B111" s="310" t="s">
        <v>219</v>
      </c>
      <c r="C111" s="311"/>
      <c r="D111" s="48" t="s">
        <v>101</v>
      </c>
      <c r="E111" s="42" t="s">
        <v>205</v>
      </c>
      <c r="F111" s="70">
        <v>1</v>
      </c>
      <c r="G111" s="70">
        <f>'Gestão de Orçamentos '!C17</f>
        <v>15903</v>
      </c>
      <c r="H111" s="71">
        <f>BDI!D$25</f>
        <v>0.27079999999999999</v>
      </c>
      <c r="I111" s="45">
        <f t="shared" ref="I111" si="41">G111*(1+H111)</f>
        <v>20209.5324</v>
      </c>
      <c r="J111" s="47">
        <f t="shared" ref="J111" si="42">I111*F111</f>
        <v>20209.5324</v>
      </c>
      <c r="K111" s="87"/>
      <c r="L111" s="116"/>
      <c r="M111" s="114"/>
      <c r="N111" s="117"/>
      <c r="O111" s="117"/>
      <c r="P111" s="117"/>
      <c r="Q111" s="117"/>
      <c r="R111" s="117"/>
      <c r="S111" s="117"/>
      <c r="T111" s="117"/>
      <c r="U111" s="117"/>
      <c r="V111" s="117"/>
      <c r="W111" s="117"/>
      <c r="X111" s="117"/>
      <c r="Y111" s="117"/>
      <c r="Z111" s="117"/>
      <c r="AA111" s="117"/>
      <c r="AB111" s="117"/>
    </row>
    <row r="112" spans="1:28" s="10" customFormat="1" ht="42.75" x14ac:dyDescent="0.25">
      <c r="A112" s="41" t="s">
        <v>103</v>
      </c>
      <c r="B112" s="42" t="s">
        <v>19</v>
      </c>
      <c r="C112" s="42">
        <v>90842</v>
      </c>
      <c r="D112" s="86" t="s">
        <v>115</v>
      </c>
      <c r="E112" s="42" t="s">
        <v>270</v>
      </c>
      <c r="F112" s="70">
        <v>5</v>
      </c>
      <c r="G112" s="45">
        <v>721.41</v>
      </c>
      <c r="H112" s="71">
        <f>BDI!D$25</f>
        <v>0.27079999999999999</v>
      </c>
      <c r="I112" s="45">
        <f t="shared" ref="I112:I113" si="43">G112*(1+H112)</f>
        <v>916.76782799999989</v>
      </c>
      <c r="J112" s="47">
        <f t="shared" ref="J112:J113" si="44">I112*F112</f>
        <v>4583.8391399999991</v>
      </c>
      <c r="K112" s="87"/>
      <c r="L112" s="115"/>
      <c r="M112" s="88"/>
      <c r="N112" s="89"/>
      <c r="O112" s="89"/>
      <c r="P112" s="89"/>
      <c r="Q112" s="89"/>
      <c r="R112" s="89"/>
      <c r="S112" s="89"/>
      <c r="T112" s="89"/>
      <c r="U112" s="89"/>
      <c r="V112" s="89"/>
      <c r="W112" s="89"/>
      <c r="X112" s="89"/>
      <c r="Y112" s="89"/>
      <c r="Z112" s="89"/>
      <c r="AA112" s="89"/>
      <c r="AB112" s="89"/>
    </row>
    <row r="113" spans="1:28" s="10" customFormat="1" ht="43.5" thickBot="1" x14ac:dyDescent="0.3">
      <c r="A113" s="41" t="s">
        <v>428</v>
      </c>
      <c r="B113" s="62" t="s">
        <v>19</v>
      </c>
      <c r="C113" s="62">
        <v>90843</v>
      </c>
      <c r="D113" s="86" t="s">
        <v>116</v>
      </c>
      <c r="E113" s="42" t="s">
        <v>270</v>
      </c>
      <c r="F113" s="70">
        <v>15</v>
      </c>
      <c r="G113" s="45">
        <v>753.44</v>
      </c>
      <c r="H113" s="71">
        <f>BDI!D$25</f>
        <v>0.27079999999999999</v>
      </c>
      <c r="I113" s="45">
        <f t="shared" si="43"/>
        <v>957.47155199999997</v>
      </c>
      <c r="J113" s="47">
        <f t="shared" si="44"/>
        <v>14362.073280000001</v>
      </c>
      <c r="K113" s="87"/>
      <c r="L113" s="115"/>
      <c r="M113" s="88"/>
      <c r="N113" s="89"/>
      <c r="O113" s="89"/>
      <c r="P113" s="89"/>
      <c r="Q113" s="89"/>
      <c r="R113" s="89"/>
      <c r="S113" s="89"/>
      <c r="T113" s="89"/>
      <c r="U113" s="89"/>
      <c r="V113" s="89"/>
      <c r="W113" s="89"/>
      <c r="X113" s="89"/>
      <c r="Y113" s="89"/>
      <c r="Z113" s="89"/>
      <c r="AA113" s="89"/>
      <c r="AB113" s="89"/>
    </row>
    <row r="114" spans="1:28" s="10" customFormat="1" ht="15" x14ac:dyDescent="0.25">
      <c r="A114" s="35">
        <v>11</v>
      </c>
      <c r="B114" s="36"/>
      <c r="C114" s="36"/>
      <c r="D114" s="37" t="s">
        <v>102</v>
      </c>
      <c r="E114" s="36"/>
      <c r="F114" s="36"/>
      <c r="G114" s="38"/>
      <c r="H114" s="39"/>
      <c r="I114" s="38"/>
      <c r="J114" s="90">
        <f>SUM(J115:J118)</f>
        <v>22520.838023999997</v>
      </c>
      <c r="K114" s="87"/>
      <c r="L114" s="115"/>
      <c r="M114" s="88"/>
      <c r="N114" s="89"/>
      <c r="O114" s="89"/>
      <c r="P114" s="89"/>
      <c r="Q114" s="89"/>
      <c r="R114" s="89"/>
      <c r="S114" s="89"/>
      <c r="T114" s="89"/>
      <c r="U114" s="89"/>
      <c r="V114" s="89"/>
      <c r="W114" s="89"/>
      <c r="X114" s="89"/>
      <c r="Y114" s="89"/>
      <c r="Z114" s="89"/>
      <c r="AA114" s="89"/>
      <c r="AB114" s="89"/>
    </row>
    <row r="115" spans="1:28" s="203" customFormat="1" ht="42" customHeight="1" x14ac:dyDescent="0.25">
      <c r="A115" s="78" t="s">
        <v>104</v>
      </c>
      <c r="B115" s="79" t="s">
        <v>19</v>
      </c>
      <c r="C115" s="79">
        <v>87553</v>
      </c>
      <c r="D115" s="204" t="s">
        <v>134</v>
      </c>
      <c r="E115" s="80" t="s">
        <v>268</v>
      </c>
      <c r="F115" s="84">
        <v>285.61</v>
      </c>
      <c r="G115" s="84">
        <v>13.18</v>
      </c>
      <c r="H115" s="83">
        <f>BDI!D$25</f>
        <v>0.27079999999999999</v>
      </c>
      <c r="I115" s="84">
        <f t="shared" ref="I115" si="45">G115*(1+H115)</f>
        <v>16.749143999999998</v>
      </c>
      <c r="J115" s="85">
        <f t="shared" ref="J115" si="46">I115*F115</f>
        <v>4783.7230178399996</v>
      </c>
      <c r="K115" s="200"/>
      <c r="L115" s="201"/>
      <c r="M115" s="202"/>
    </row>
    <row r="116" spans="1:28" s="203" customFormat="1" ht="28.5" x14ac:dyDescent="0.25">
      <c r="A116" s="78" t="s">
        <v>105</v>
      </c>
      <c r="B116" s="79" t="s">
        <v>19</v>
      </c>
      <c r="C116" s="79">
        <v>87257</v>
      </c>
      <c r="D116" s="204" t="s">
        <v>146</v>
      </c>
      <c r="E116" s="80" t="s">
        <v>268</v>
      </c>
      <c r="F116" s="84">
        <v>185.51</v>
      </c>
      <c r="G116" s="84">
        <v>55.94</v>
      </c>
      <c r="H116" s="83">
        <f>BDI!D$25</f>
        <v>0.27079999999999999</v>
      </c>
      <c r="I116" s="84">
        <f t="shared" ref="I116:I118" si="47">G116*(1+H116)</f>
        <v>71.088551999999993</v>
      </c>
      <c r="J116" s="85">
        <f t="shared" ref="J116:J118" si="48">I116*F116</f>
        <v>13187.637281519997</v>
      </c>
      <c r="K116" s="200"/>
      <c r="L116" s="201"/>
      <c r="M116" s="202"/>
    </row>
    <row r="117" spans="1:28" s="203" customFormat="1" ht="42.75" x14ac:dyDescent="0.25">
      <c r="A117" s="78" t="s">
        <v>152</v>
      </c>
      <c r="B117" s="79" t="s">
        <v>19</v>
      </c>
      <c r="C117" s="79">
        <v>93393</v>
      </c>
      <c r="D117" s="204" t="s">
        <v>117</v>
      </c>
      <c r="E117" s="80" t="s">
        <v>268</v>
      </c>
      <c r="F117" s="84">
        <v>100.1</v>
      </c>
      <c r="G117" s="84">
        <v>34.11</v>
      </c>
      <c r="H117" s="83">
        <f>BDI!D$25</f>
        <v>0.27079999999999999</v>
      </c>
      <c r="I117" s="84">
        <f t="shared" si="47"/>
        <v>43.346987999999996</v>
      </c>
      <c r="J117" s="85">
        <f t="shared" si="48"/>
        <v>4339.0334987999995</v>
      </c>
      <c r="K117" s="200"/>
      <c r="L117" s="201"/>
      <c r="M117" s="202"/>
    </row>
    <row r="118" spans="1:28" s="203" customFormat="1" ht="15" thickBot="1" x14ac:dyDescent="0.25">
      <c r="A118" s="78" t="s">
        <v>429</v>
      </c>
      <c r="B118" s="218" t="s">
        <v>19</v>
      </c>
      <c r="C118" s="218">
        <v>34356</v>
      </c>
      <c r="D118" s="219" t="s">
        <v>135</v>
      </c>
      <c r="E118" s="218" t="s">
        <v>118</v>
      </c>
      <c r="F118" s="220">
        <v>74.260000000000005</v>
      </c>
      <c r="G118" s="241">
        <v>2.23</v>
      </c>
      <c r="H118" s="222">
        <f>BDI!D$25</f>
        <v>0.27079999999999999</v>
      </c>
      <c r="I118" s="221">
        <f t="shared" si="47"/>
        <v>2.8338839999999998</v>
      </c>
      <c r="J118" s="223">
        <f t="shared" si="48"/>
        <v>210.44422584</v>
      </c>
      <c r="K118" s="200"/>
      <c r="L118" s="201"/>
      <c r="M118" s="202"/>
    </row>
    <row r="119" spans="1:28" s="10" customFormat="1" ht="15" x14ac:dyDescent="0.25">
      <c r="A119" s="92">
        <v>12</v>
      </c>
      <c r="B119" s="36"/>
      <c r="C119" s="36"/>
      <c r="D119" s="37" t="s">
        <v>277</v>
      </c>
      <c r="E119" s="36"/>
      <c r="F119" s="36"/>
      <c r="G119" s="38"/>
      <c r="H119" s="39"/>
      <c r="I119" s="38"/>
      <c r="J119" s="40">
        <f>SUM(J120:J127)</f>
        <v>11463.264107999998</v>
      </c>
      <c r="K119" s="87"/>
      <c r="L119" s="115"/>
      <c r="M119" s="88"/>
      <c r="N119" s="89"/>
      <c r="O119" s="89"/>
      <c r="P119" s="89"/>
      <c r="Q119" s="89"/>
      <c r="R119" s="89"/>
      <c r="S119" s="89"/>
      <c r="T119" s="89"/>
      <c r="U119" s="89"/>
      <c r="V119" s="89"/>
      <c r="W119" s="89"/>
      <c r="X119" s="89"/>
      <c r="Y119" s="89"/>
      <c r="Z119" s="89"/>
      <c r="AA119" s="89"/>
      <c r="AB119" s="89"/>
    </row>
    <row r="120" spans="1:28" s="10" customFormat="1" ht="28.5" x14ac:dyDescent="0.25">
      <c r="A120" s="69" t="s">
        <v>106</v>
      </c>
      <c r="B120" s="42" t="s">
        <v>19</v>
      </c>
      <c r="C120" s="62">
        <v>86931</v>
      </c>
      <c r="D120" s="91" t="s">
        <v>147</v>
      </c>
      <c r="E120" s="44" t="s">
        <v>270</v>
      </c>
      <c r="F120" s="45">
        <v>6</v>
      </c>
      <c r="G120" s="45">
        <v>324.20999999999998</v>
      </c>
      <c r="H120" s="71">
        <f>BDI!D$25</f>
        <v>0.27079999999999999</v>
      </c>
      <c r="I120" s="45">
        <f t="shared" ref="I120:I123" si="49">G120*(1+H120)</f>
        <v>412.00606799999997</v>
      </c>
      <c r="J120" s="47">
        <f t="shared" ref="J120:J125" si="50">I120*F120</f>
        <v>2472.0364079999999</v>
      </c>
      <c r="K120" s="87"/>
      <c r="L120" s="115"/>
      <c r="M120" s="88"/>
      <c r="N120" s="89"/>
      <c r="O120" s="89"/>
      <c r="P120" s="89"/>
      <c r="Q120" s="89"/>
      <c r="R120" s="89"/>
      <c r="S120" s="89"/>
      <c r="T120" s="89"/>
      <c r="U120" s="89"/>
      <c r="V120" s="89"/>
      <c r="W120" s="89"/>
      <c r="X120" s="89"/>
      <c r="Y120" s="89"/>
      <c r="Z120" s="89"/>
      <c r="AA120" s="89"/>
      <c r="AB120" s="89"/>
    </row>
    <row r="121" spans="1:28" s="10" customFormat="1" ht="57" x14ac:dyDescent="0.25">
      <c r="A121" s="69" t="s">
        <v>107</v>
      </c>
      <c r="B121" s="99" t="s">
        <v>19</v>
      </c>
      <c r="C121" s="206">
        <v>39353</v>
      </c>
      <c r="D121" s="100" t="s">
        <v>149</v>
      </c>
      <c r="E121" s="205" t="s">
        <v>270</v>
      </c>
      <c r="F121" s="45">
        <v>4</v>
      </c>
      <c r="G121" s="238">
        <v>164.64</v>
      </c>
      <c r="H121" s="71">
        <f>BDI!D$25</f>
        <v>0.27079999999999999</v>
      </c>
      <c r="I121" s="45">
        <f t="shared" si="49"/>
        <v>209.22451199999998</v>
      </c>
      <c r="J121" s="47">
        <f t="shared" si="50"/>
        <v>836.8980479999999</v>
      </c>
      <c r="K121" s="87"/>
      <c r="L121" s="115"/>
      <c r="M121" s="88"/>
      <c r="N121" s="89"/>
      <c r="O121" s="89"/>
      <c r="P121" s="89"/>
      <c r="Q121" s="89"/>
      <c r="R121" s="89"/>
      <c r="S121" s="89"/>
      <c r="T121" s="89"/>
      <c r="U121" s="89"/>
      <c r="V121" s="89"/>
      <c r="W121" s="89"/>
      <c r="X121" s="89"/>
      <c r="Y121" s="89"/>
      <c r="Z121" s="89"/>
      <c r="AA121" s="89"/>
      <c r="AB121" s="89"/>
    </row>
    <row r="122" spans="1:28" s="10" customFormat="1" ht="28.5" x14ac:dyDescent="0.25">
      <c r="A122" s="69" t="s">
        <v>153</v>
      </c>
      <c r="B122" s="99" t="s">
        <v>19</v>
      </c>
      <c r="C122" s="206">
        <v>86902</v>
      </c>
      <c r="D122" s="101" t="s">
        <v>119</v>
      </c>
      <c r="E122" s="205" t="s">
        <v>270</v>
      </c>
      <c r="F122" s="45">
        <v>5</v>
      </c>
      <c r="G122" s="45">
        <v>173.74</v>
      </c>
      <c r="H122" s="71">
        <f>BDI!D$25</f>
        <v>0.27079999999999999</v>
      </c>
      <c r="I122" s="45">
        <f t="shared" si="49"/>
        <v>220.788792</v>
      </c>
      <c r="J122" s="47">
        <f t="shared" si="50"/>
        <v>1103.9439600000001</v>
      </c>
      <c r="K122" s="87"/>
      <c r="L122" s="115"/>
      <c r="M122" s="88"/>
      <c r="N122" s="89"/>
      <c r="O122" s="89"/>
      <c r="P122" s="89"/>
      <c r="Q122" s="89"/>
      <c r="R122" s="89"/>
      <c r="S122" s="89"/>
      <c r="T122" s="89"/>
      <c r="U122" s="89"/>
      <c r="V122" s="89"/>
      <c r="W122" s="89"/>
      <c r="X122" s="89"/>
      <c r="Y122" s="89"/>
      <c r="Z122" s="89"/>
      <c r="AA122" s="89"/>
      <c r="AB122" s="89"/>
    </row>
    <row r="123" spans="1:28" s="10" customFormat="1" ht="28.5" x14ac:dyDescent="0.25">
      <c r="A123" s="69" t="s">
        <v>108</v>
      </c>
      <c r="B123" s="42" t="s">
        <v>19</v>
      </c>
      <c r="C123" s="42">
        <v>86906</v>
      </c>
      <c r="D123" s="86" t="s">
        <v>144</v>
      </c>
      <c r="E123" s="205" t="s">
        <v>270</v>
      </c>
      <c r="F123" s="45">
        <v>5</v>
      </c>
      <c r="G123" s="45">
        <v>54.07</v>
      </c>
      <c r="H123" s="71">
        <f>BDI!D$25</f>
        <v>0.27079999999999999</v>
      </c>
      <c r="I123" s="45">
        <f t="shared" si="49"/>
        <v>68.712155999999993</v>
      </c>
      <c r="J123" s="47">
        <f t="shared" si="50"/>
        <v>343.56077999999997</v>
      </c>
      <c r="K123" s="87"/>
      <c r="L123" s="115"/>
      <c r="M123" s="88"/>
      <c r="N123" s="89"/>
      <c r="O123" s="89"/>
      <c r="P123" s="89"/>
      <c r="Q123" s="89"/>
      <c r="R123" s="89"/>
      <c r="S123" s="89"/>
      <c r="T123" s="89"/>
      <c r="U123" s="89"/>
      <c r="V123" s="89"/>
      <c r="W123" s="89"/>
      <c r="X123" s="89"/>
      <c r="Y123" s="89"/>
      <c r="Z123" s="89"/>
      <c r="AA123" s="89"/>
      <c r="AB123" s="89"/>
    </row>
    <row r="124" spans="1:28" s="10" customFormat="1" ht="28.5" x14ac:dyDescent="0.25">
      <c r="A124" s="69" t="s">
        <v>430</v>
      </c>
      <c r="B124" s="42" t="s">
        <v>19</v>
      </c>
      <c r="C124" s="42">
        <v>86909</v>
      </c>
      <c r="D124" s="86" t="s">
        <v>154</v>
      </c>
      <c r="E124" s="205" t="s">
        <v>270</v>
      </c>
      <c r="F124" s="45">
        <v>1</v>
      </c>
      <c r="G124" s="45">
        <v>108.07</v>
      </c>
      <c r="H124" s="71">
        <f>BDI!D$25</f>
        <v>0.27079999999999999</v>
      </c>
      <c r="I124" s="45">
        <f>G124*(1+H124)</f>
        <v>137.33535599999999</v>
      </c>
      <c r="J124" s="47">
        <f t="shared" si="50"/>
        <v>137.33535599999999</v>
      </c>
      <c r="K124" s="87"/>
      <c r="L124" s="115"/>
      <c r="M124" s="88"/>
      <c r="N124" s="89"/>
      <c r="O124" s="89"/>
      <c r="P124" s="89"/>
      <c r="Q124" s="89"/>
      <c r="R124" s="89"/>
      <c r="S124" s="89"/>
      <c r="T124" s="89"/>
      <c r="U124" s="89"/>
      <c r="V124" s="89"/>
      <c r="W124" s="89"/>
      <c r="X124" s="89"/>
      <c r="Y124" s="89"/>
      <c r="Z124" s="89"/>
      <c r="AA124" s="89"/>
      <c r="AB124" s="89"/>
    </row>
    <row r="125" spans="1:28" s="10" customFormat="1" ht="28.5" x14ac:dyDescent="0.25">
      <c r="A125" s="69" t="s">
        <v>431</v>
      </c>
      <c r="B125" s="42" t="s">
        <v>19</v>
      </c>
      <c r="C125" s="42">
        <v>95546</v>
      </c>
      <c r="D125" s="86" t="s">
        <v>157</v>
      </c>
      <c r="E125" s="205" t="s">
        <v>270</v>
      </c>
      <c r="F125" s="45">
        <v>5</v>
      </c>
      <c r="G125" s="45">
        <v>96.44</v>
      </c>
      <c r="H125" s="71">
        <f>BDI!D$25</f>
        <v>0.27079999999999999</v>
      </c>
      <c r="I125" s="45">
        <f>G125*(1+H125)</f>
        <v>122.55595199999999</v>
      </c>
      <c r="J125" s="47">
        <f t="shared" si="50"/>
        <v>612.7797599999999</v>
      </c>
      <c r="K125" s="87"/>
      <c r="L125" s="115"/>
      <c r="M125" s="88"/>
      <c r="N125" s="89"/>
      <c r="O125" s="89"/>
      <c r="P125" s="89"/>
      <c r="Q125" s="89"/>
      <c r="R125" s="89"/>
      <c r="S125" s="89"/>
      <c r="T125" s="89"/>
      <c r="U125" s="89"/>
      <c r="V125" s="89"/>
      <c r="W125" s="89"/>
      <c r="X125" s="89"/>
      <c r="Y125" s="89"/>
      <c r="Z125" s="89"/>
      <c r="AA125" s="89"/>
      <c r="AB125" s="89"/>
    </row>
    <row r="126" spans="1:28" s="10" customFormat="1" ht="28.5" x14ac:dyDescent="0.25">
      <c r="A126" s="69" t="s">
        <v>432</v>
      </c>
      <c r="B126" s="206" t="s">
        <v>19</v>
      </c>
      <c r="C126" s="206">
        <v>79627</v>
      </c>
      <c r="D126" s="102" t="s">
        <v>145</v>
      </c>
      <c r="E126" s="206" t="s">
        <v>268</v>
      </c>
      <c r="F126" s="103">
        <v>5.5</v>
      </c>
      <c r="G126" s="103">
        <v>585.54</v>
      </c>
      <c r="H126" s="104">
        <f>BDI!D$25</f>
        <v>0.27079999999999999</v>
      </c>
      <c r="I126" s="103">
        <f>G126*(1+H126)</f>
        <v>744.10423199999991</v>
      </c>
      <c r="J126" s="177">
        <f>I126*F126</f>
        <v>4092.5732759999996</v>
      </c>
      <c r="K126" s="87"/>
      <c r="L126" s="115"/>
      <c r="M126" s="88"/>
      <c r="N126" s="89"/>
      <c r="O126" s="89"/>
      <c r="P126" s="89"/>
      <c r="Q126" s="89"/>
      <c r="R126" s="89"/>
      <c r="S126" s="89"/>
      <c r="T126" s="89"/>
      <c r="U126" s="89"/>
      <c r="V126" s="89"/>
      <c r="W126" s="89"/>
      <c r="X126" s="89"/>
      <c r="Y126" s="89"/>
      <c r="Z126" s="89"/>
      <c r="AA126" s="89"/>
      <c r="AB126" s="89"/>
    </row>
    <row r="127" spans="1:28" s="10" customFormat="1" ht="15" thickBot="1" x14ac:dyDescent="0.3">
      <c r="A127" s="69" t="s">
        <v>433</v>
      </c>
      <c r="B127" s="206" t="s">
        <v>19</v>
      </c>
      <c r="C127" s="206">
        <v>85005</v>
      </c>
      <c r="D127" s="102" t="s">
        <v>156</v>
      </c>
      <c r="E127" s="206" t="s">
        <v>268</v>
      </c>
      <c r="F127" s="103">
        <v>5</v>
      </c>
      <c r="G127" s="103">
        <v>293.38</v>
      </c>
      <c r="H127" s="104">
        <f>BDI!D$25</f>
        <v>0.27079999999999999</v>
      </c>
      <c r="I127" s="103">
        <f>G127*(1+H127)</f>
        <v>372.82730399999997</v>
      </c>
      <c r="J127" s="177">
        <f>I127*F127</f>
        <v>1864.1365199999998</v>
      </c>
      <c r="K127" s="87"/>
      <c r="L127" s="115"/>
      <c r="M127" s="88"/>
      <c r="N127" s="89"/>
      <c r="O127" s="89"/>
      <c r="P127" s="89"/>
      <c r="Q127" s="89"/>
      <c r="R127" s="89"/>
      <c r="S127" s="89"/>
      <c r="T127" s="89"/>
      <c r="U127" s="89"/>
      <c r="V127" s="89"/>
      <c r="W127" s="89"/>
      <c r="X127" s="89"/>
      <c r="Y127" s="89"/>
      <c r="Z127" s="89"/>
      <c r="AA127" s="89"/>
      <c r="AB127" s="89"/>
    </row>
    <row r="128" spans="1:28" s="1" customFormat="1" ht="15" x14ac:dyDescent="0.25">
      <c r="A128" s="92">
        <v>13</v>
      </c>
      <c r="B128" s="94"/>
      <c r="C128" s="94"/>
      <c r="D128" s="95" t="s">
        <v>278</v>
      </c>
      <c r="E128" s="94"/>
      <c r="F128" s="94"/>
      <c r="G128" s="96"/>
      <c r="H128" s="97"/>
      <c r="I128" s="96"/>
      <c r="J128" s="98">
        <f>SUM(J129:J131)</f>
        <v>24780.6</v>
      </c>
      <c r="K128" s="87"/>
      <c r="L128" s="115"/>
      <c r="M128" s="88"/>
      <c r="N128" s="89"/>
      <c r="O128" s="89"/>
      <c r="P128" s="89"/>
      <c r="Q128" s="89"/>
      <c r="R128" s="89"/>
      <c r="S128" s="89"/>
      <c r="T128" s="89"/>
      <c r="U128" s="89"/>
      <c r="V128" s="89"/>
      <c r="W128" s="89"/>
      <c r="X128" s="89"/>
      <c r="Y128" s="89"/>
      <c r="Z128" s="89"/>
      <c r="AA128" s="89"/>
      <c r="AB128" s="89"/>
    </row>
    <row r="129" spans="1:28" s="14" customFormat="1" x14ac:dyDescent="0.25">
      <c r="A129" s="107" t="s">
        <v>109</v>
      </c>
      <c r="B129" s="317" t="s">
        <v>220</v>
      </c>
      <c r="C129" s="317"/>
      <c r="D129" s="102" t="s">
        <v>248</v>
      </c>
      <c r="E129" s="205" t="s">
        <v>205</v>
      </c>
      <c r="F129" s="103">
        <v>1</v>
      </c>
      <c r="G129" s="103">
        <v>5600</v>
      </c>
      <c r="H129" s="104">
        <f>BDI!D$25</f>
        <v>0.27079999999999999</v>
      </c>
      <c r="I129" s="103">
        <f t="shared" ref="I129" si="51">G129*(1+H129)</f>
        <v>7116.48</v>
      </c>
      <c r="J129" s="177">
        <f t="shared" ref="J129" si="52">I129*F129</f>
        <v>7116.48</v>
      </c>
      <c r="K129" s="87"/>
      <c r="L129" s="116"/>
      <c r="M129" s="114"/>
      <c r="N129" s="117"/>
      <c r="O129" s="117"/>
      <c r="P129" s="117"/>
      <c r="Q129" s="117"/>
      <c r="R129" s="117"/>
      <c r="S129" s="117"/>
      <c r="T129" s="117"/>
      <c r="U129" s="117"/>
      <c r="V129" s="117"/>
      <c r="W129" s="117"/>
      <c r="X129" s="117"/>
      <c r="Y129" s="117"/>
      <c r="Z129" s="117"/>
      <c r="AA129" s="117"/>
      <c r="AB129" s="117"/>
    </row>
    <row r="130" spans="1:28" s="5" customFormat="1" x14ac:dyDescent="0.25">
      <c r="A130" s="107" t="s">
        <v>110</v>
      </c>
      <c r="B130" s="317" t="s">
        <v>220</v>
      </c>
      <c r="C130" s="317"/>
      <c r="D130" s="102" t="s">
        <v>247</v>
      </c>
      <c r="E130" s="205" t="s">
        <v>205</v>
      </c>
      <c r="F130" s="103">
        <v>1</v>
      </c>
      <c r="G130" s="103">
        <v>4800</v>
      </c>
      <c r="H130" s="104">
        <f>BDI!D$25</f>
        <v>0.27079999999999999</v>
      </c>
      <c r="I130" s="103">
        <f t="shared" ref="I130" si="53">G130*(1+H130)</f>
        <v>6099.8399999999992</v>
      </c>
      <c r="J130" s="177">
        <f t="shared" ref="J130" si="54">I130*F130</f>
        <v>6099.8399999999992</v>
      </c>
      <c r="K130" s="87"/>
      <c r="L130" s="116"/>
      <c r="M130" s="114"/>
      <c r="N130" s="117"/>
      <c r="O130" s="117"/>
      <c r="P130" s="117"/>
      <c r="Q130" s="117"/>
      <c r="R130" s="117"/>
      <c r="S130" s="117"/>
      <c r="T130" s="117"/>
      <c r="U130" s="117"/>
      <c r="V130" s="117"/>
      <c r="W130" s="117"/>
      <c r="X130" s="117"/>
      <c r="Y130" s="117"/>
      <c r="Z130" s="117"/>
      <c r="AA130" s="117"/>
      <c r="AB130" s="117"/>
    </row>
    <row r="131" spans="1:28" s="5" customFormat="1" ht="15" thickBot="1" x14ac:dyDescent="0.3">
      <c r="A131" s="107" t="s">
        <v>111</v>
      </c>
      <c r="B131" s="317" t="s">
        <v>220</v>
      </c>
      <c r="C131" s="317"/>
      <c r="D131" s="102" t="s">
        <v>238</v>
      </c>
      <c r="E131" s="205" t="s">
        <v>205</v>
      </c>
      <c r="F131" s="103">
        <v>1</v>
      </c>
      <c r="G131" s="103">
        <v>9100</v>
      </c>
      <c r="H131" s="104">
        <f>BDI!D$25</f>
        <v>0.27079999999999999</v>
      </c>
      <c r="I131" s="103">
        <f t="shared" ref="I131" si="55">G131*(1+H131)</f>
        <v>11564.279999999999</v>
      </c>
      <c r="J131" s="177">
        <f t="shared" ref="J131" si="56">I131*F131</f>
        <v>11564.279999999999</v>
      </c>
      <c r="K131" s="87"/>
      <c r="L131" s="116"/>
      <c r="M131" s="114"/>
      <c r="N131" s="117"/>
      <c r="O131" s="117"/>
      <c r="P131" s="117"/>
      <c r="Q131" s="117"/>
      <c r="R131" s="117"/>
      <c r="S131" s="117"/>
      <c r="T131" s="117"/>
      <c r="U131" s="117"/>
      <c r="V131" s="117"/>
      <c r="W131" s="117"/>
      <c r="X131" s="117"/>
      <c r="Y131" s="117"/>
      <c r="Z131" s="117"/>
      <c r="AA131" s="117"/>
      <c r="AB131" s="117"/>
    </row>
    <row r="132" spans="1:28" s="10" customFormat="1" ht="15" x14ac:dyDescent="0.25">
      <c r="A132" s="35">
        <v>14</v>
      </c>
      <c r="B132" s="36"/>
      <c r="C132" s="36"/>
      <c r="D132" s="37" t="s">
        <v>169</v>
      </c>
      <c r="E132" s="36"/>
      <c r="F132" s="36"/>
      <c r="G132" s="38"/>
      <c r="H132" s="39"/>
      <c r="I132" s="38"/>
      <c r="J132" s="40">
        <f>SUM(J133:J134)</f>
        <v>1137.3151680000001</v>
      </c>
      <c r="K132" s="114"/>
      <c r="L132" s="115"/>
      <c r="M132" s="89"/>
      <c r="N132" s="89"/>
      <c r="O132" s="89"/>
      <c r="P132" s="89"/>
      <c r="Q132" s="89"/>
      <c r="R132" s="89"/>
      <c r="S132" s="89"/>
      <c r="T132" s="89"/>
      <c r="U132" s="89"/>
      <c r="V132" s="89"/>
      <c r="W132" s="89"/>
      <c r="X132" s="89"/>
      <c r="Y132" s="89"/>
      <c r="Z132" s="89"/>
      <c r="AA132" s="89"/>
      <c r="AB132" s="89"/>
    </row>
    <row r="133" spans="1:28" s="10" customFormat="1" x14ac:dyDescent="0.25">
      <c r="A133" s="69" t="s">
        <v>314</v>
      </c>
      <c r="B133" s="42" t="s">
        <v>19</v>
      </c>
      <c r="C133" s="42">
        <v>97599</v>
      </c>
      <c r="D133" s="86" t="s">
        <v>170</v>
      </c>
      <c r="E133" s="205" t="s">
        <v>270</v>
      </c>
      <c r="F133" s="45">
        <v>12</v>
      </c>
      <c r="G133" s="45">
        <v>37.950000000000003</v>
      </c>
      <c r="H133" s="71">
        <f>[4]BDI!F$25</f>
        <v>0.27079999999999999</v>
      </c>
      <c r="I133" s="45">
        <f t="shared" ref="I133:I134" si="57">G133*(1+H133)</f>
        <v>48.226860000000002</v>
      </c>
      <c r="J133" s="47">
        <f t="shared" ref="J133:J134" si="58">I133*F133</f>
        <v>578.72232000000008</v>
      </c>
      <c r="K133" s="87"/>
      <c r="L133" s="115"/>
      <c r="M133" s="88"/>
      <c r="N133" s="89"/>
      <c r="O133" s="89"/>
      <c r="P133" s="89"/>
      <c r="Q133" s="89"/>
      <c r="R133" s="89"/>
      <c r="S133" s="89"/>
      <c r="T133" s="89"/>
      <c r="U133" s="89"/>
      <c r="V133" s="89"/>
      <c r="W133" s="89"/>
      <c r="X133" s="89"/>
      <c r="Y133" s="89"/>
      <c r="Z133" s="89"/>
      <c r="AA133" s="89"/>
      <c r="AB133" s="89"/>
    </row>
    <row r="134" spans="1:28" s="10" customFormat="1" ht="15" thickBot="1" x14ac:dyDescent="0.3">
      <c r="A134" s="66" t="s">
        <v>315</v>
      </c>
      <c r="B134" s="50" t="s">
        <v>19</v>
      </c>
      <c r="C134" s="50">
        <v>72553</v>
      </c>
      <c r="D134" s="93" t="s">
        <v>171</v>
      </c>
      <c r="E134" s="205" t="s">
        <v>270</v>
      </c>
      <c r="F134" s="53">
        <v>4</v>
      </c>
      <c r="G134" s="53">
        <v>109.89</v>
      </c>
      <c r="H134" s="68">
        <f>[4]BDI!F$25</f>
        <v>0.27079999999999999</v>
      </c>
      <c r="I134" s="53">
        <f t="shared" si="57"/>
        <v>139.648212</v>
      </c>
      <c r="J134" s="55">
        <f t="shared" si="58"/>
        <v>558.592848</v>
      </c>
      <c r="K134" s="87"/>
      <c r="L134" s="115"/>
      <c r="M134" s="88"/>
      <c r="N134" s="89"/>
      <c r="O134" s="89"/>
      <c r="P134" s="89"/>
      <c r="Q134" s="89"/>
      <c r="R134" s="89"/>
      <c r="S134" s="89"/>
      <c r="T134" s="89"/>
      <c r="U134" s="89"/>
      <c r="V134" s="89"/>
      <c r="W134" s="89"/>
      <c r="X134" s="89"/>
      <c r="Y134" s="89"/>
      <c r="Z134" s="89"/>
      <c r="AA134" s="89"/>
      <c r="AB134" s="89"/>
    </row>
    <row r="135" spans="1:28" s="10" customFormat="1" ht="15" x14ac:dyDescent="0.25">
      <c r="A135" s="92">
        <v>15</v>
      </c>
      <c r="B135" s="94"/>
      <c r="C135" s="94"/>
      <c r="D135" s="95" t="s">
        <v>172</v>
      </c>
      <c r="E135" s="36"/>
      <c r="F135" s="36"/>
      <c r="G135" s="38"/>
      <c r="H135" s="39"/>
      <c r="I135" s="38"/>
      <c r="J135" s="40">
        <f>SUM(J136:J141)</f>
        <v>1129.9165704</v>
      </c>
      <c r="K135" s="87"/>
      <c r="L135" s="115"/>
      <c r="M135" s="88"/>
      <c r="N135" s="89"/>
      <c r="O135" s="89"/>
      <c r="P135" s="89"/>
      <c r="Q135" s="89"/>
      <c r="R135" s="89"/>
      <c r="S135" s="89"/>
      <c r="T135" s="89"/>
      <c r="U135" s="89"/>
      <c r="V135" s="89"/>
      <c r="W135" s="89"/>
      <c r="X135" s="89"/>
      <c r="Y135" s="89"/>
      <c r="Z135" s="89"/>
      <c r="AA135" s="89"/>
      <c r="AB135" s="89"/>
    </row>
    <row r="136" spans="1:28" s="10" customFormat="1" ht="28.5" x14ac:dyDescent="0.25">
      <c r="A136" s="107" t="s">
        <v>167</v>
      </c>
      <c r="B136" s="206" t="s">
        <v>19</v>
      </c>
      <c r="C136" s="206">
        <v>92688</v>
      </c>
      <c r="D136" s="102" t="s">
        <v>251</v>
      </c>
      <c r="E136" s="105" t="s">
        <v>271</v>
      </c>
      <c r="F136" s="45">
        <v>23.3</v>
      </c>
      <c r="G136" s="45">
        <v>24.46</v>
      </c>
      <c r="H136" s="71">
        <f>[4]BDI!F$25</f>
        <v>0.27079999999999999</v>
      </c>
      <c r="I136" s="45">
        <f t="shared" ref="I136" si="59">G136*(1+H136)</f>
        <v>31.083767999999999</v>
      </c>
      <c r="J136" s="47">
        <f t="shared" ref="J136" si="60">I136*F136</f>
        <v>724.25179439999999</v>
      </c>
      <c r="K136" s="87"/>
      <c r="L136" s="115"/>
      <c r="M136" s="88"/>
      <c r="N136" s="89"/>
      <c r="O136" s="89"/>
      <c r="P136" s="89"/>
      <c r="Q136" s="89"/>
      <c r="R136" s="89"/>
      <c r="S136" s="89"/>
      <c r="T136" s="89"/>
      <c r="U136" s="89"/>
      <c r="V136" s="89"/>
      <c r="W136" s="89"/>
      <c r="X136" s="89"/>
      <c r="Y136" s="89"/>
      <c r="Z136" s="89"/>
      <c r="AA136" s="89"/>
      <c r="AB136" s="89"/>
    </row>
    <row r="137" spans="1:28" s="10" customFormat="1" ht="28.5" x14ac:dyDescent="0.25">
      <c r="A137" s="107" t="s">
        <v>168</v>
      </c>
      <c r="B137" s="206" t="s">
        <v>19</v>
      </c>
      <c r="C137" s="206">
        <v>92700</v>
      </c>
      <c r="D137" s="102" t="s">
        <v>252</v>
      </c>
      <c r="E137" s="105" t="s">
        <v>270</v>
      </c>
      <c r="F137" s="45">
        <v>2</v>
      </c>
      <c r="G137" s="45">
        <v>26.08</v>
      </c>
      <c r="H137" s="71">
        <f>[4]BDI!F$25</f>
        <v>0.27079999999999999</v>
      </c>
      <c r="I137" s="45">
        <f t="shared" ref="I137:I138" si="61">G137*(1+H137)</f>
        <v>33.142463999999997</v>
      </c>
      <c r="J137" s="47">
        <f t="shared" ref="J137:J138" si="62">I137*F137</f>
        <v>66.284927999999994</v>
      </c>
      <c r="K137" s="87"/>
      <c r="L137" s="115"/>
      <c r="M137" s="88"/>
      <c r="N137" s="89"/>
      <c r="O137" s="89"/>
      <c r="P137" s="89"/>
      <c r="Q137" s="89"/>
      <c r="R137" s="89"/>
      <c r="S137" s="89"/>
      <c r="T137" s="89"/>
      <c r="U137" s="89"/>
      <c r="V137" s="89"/>
      <c r="W137" s="89"/>
      <c r="X137" s="89"/>
      <c r="Y137" s="89"/>
      <c r="Z137" s="89"/>
      <c r="AA137" s="89"/>
      <c r="AB137" s="89"/>
    </row>
    <row r="138" spans="1:28" s="10" customFormat="1" ht="28.5" x14ac:dyDescent="0.25">
      <c r="A138" s="107" t="s">
        <v>434</v>
      </c>
      <c r="B138" s="206" t="s">
        <v>19</v>
      </c>
      <c r="C138" s="206">
        <v>92701</v>
      </c>
      <c r="D138" s="102" t="s">
        <v>253</v>
      </c>
      <c r="E138" s="105" t="s">
        <v>270</v>
      </c>
      <c r="F138" s="45">
        <v>4</v>
      </c>
      <c r="G138" s="45">
        <v>24.77</v>
      </c>
      <c r="H138" s="71">
        <f>[4]BDI!F$25</f>
        <v>0.27079999999999999</v>
      </c>
      <c r="I138" s="45">
        <f t="shared" si="61"/>
        <v>31.477715999999997</v>
      </c>
      <c r="J138" s="47">
        <f t="shared" si="62"/>
        <v>125.91086399999999</v>
      </c>
      <c r="K138" s="87"/>
      <c r="L138" s="115"/>
      <c r="M138" s="88"/>
      <c r="N138" s="89"/>
      <c r="O138" s="89"/>
      <c r="P138" s="89"/>
      <c r="Q138" s="89"/>
      <c r="R138" s="89"/>
      <c r="S138" s="89"/>
      <c r="T138" s="89"/>
      <c r="U138" s="89"/>
      <c r="V138" s="89"/>
      <c r="W138" s="89"/>
      <c r="X138" s="89"/>
      <c r="Y138" s="89"/>
      <c r="Z138" s="89"/>
      <c r="AA138" s="89"/>
      <c r="AB138" s="89"/>
    </row>
    <row r="139" spans="1:28" s="10" customFormat="1" x14ac:dyDescent="0.25">
      <c r="A139" s="107" t="s">
        <v>435</v>
      </c>
      <c r="B139" s="206" t="s">
        <v>19</v>
      </c>
      <c r="C139" s="206">
        <v>11756</v>
      </c>
      <c r="D139" s="102" t="s">
        <v>173</v>
      </c>
      <c r="E139" s="105" t="s">
        <v>270</v>
      </c>
      <c r="F139" s="45">
        <v>1</v>
      </c>
      <c r="G139" s="238">
        <v>28.18</v>
      </c>
      <c r="H139" s="71">
        <f>[4]BDI!F$25</f>
        <v>0.27079999999999999</v>
      </c>
      <c r="I139" s="45">
        <f>G139*(1+H139)</f>
        <v>35.811143999999999</v>
      </c>
      <c r="J139" s="47">
        <f>I139*F139</f>
        <v>35.811143999999999</v>
      </c>
      <c r="K139" s="87"/>
      <c r="L139" s="115"/>
      <c r="M139" s="88"/>
      <c r="N139" s="89"/>
      <c r="O139" s="89"/>
      <c r="P139" s="89"/>
      <c r="Q139" s="89"/>
      <c r="R139" s="89"/>
      <c r="S139" s="89"/>
      <c r="T139" s="89"/>
      <c r="U139" s="89"/>
      <c r="V139" s="89"/>
      <c r="W139" s="89"/>
      <c r="X139" s="89"/>
      <c r="Y139" s="89"/>
      <c r="Z139" s="89"/>
      <c r="AA139" s="89"/>
      <c r="AB139" s="89"/>
    </row>
    <row r="140" spans="1:28" s="10" customFormat="1" x14ac:dyDescent="0.25">
      <c r="A140" s="107" t="s">
        <v>436</v>
      </c>
      <c r="B140" s="306" t="s">
        <v>220</v>
      </c>
      <c r="C140" s="306"/>
      <c r="D140" s="106" t="s">
        <v>254</v>
      </c>
      <c r="E140" s="105" t="s">
        <v>270</v>
      </c>
      <c r="F140" s="45">
        <v>2</v>
      </c>
      <c r="G140" s="42">
        <v>29.9</v>
      </c>
      <c r="H140" s="71">
        <f>[4]BDI!F$25</f>
        <v>0.27079999999999999</v>
      </c>
      <c r="I140" s="45">
        <f t="shared" ref="I140:I141" si="63">G140*(1+H140)</f>
        <v>37.996919999999996</v>
      </c>
      <c r="J140" s="47">
        <f t="shared" ref="J140:J141" si="64">I140*F140</f>
        <v>75.993839999999992</v>
      </c>
      <c r="K140" s="87"/>
      <c r="L140" s="115"/>
      <c r="M140" s="88"/>
      <c r="N140" s="89"/>
      <c r="O140" s="89"/>
      <c r="P140" s="89"/>
      <c r="Q140" s="89"/>
      <c r="R140" s="89"/>
      <c r="S140" s="89"/>
      <c r="T140" s="89"/>
      <c r="U140" s="89"/>
      <c r="V140" s="89"/>
      <c r="W140" s="89"/>
      <c r="X140" s="89"/>
      <c r="Y140" s="89"/>
      <c r="Z140" s="89"/>
      <c r="AA140" s="89"/>
      <c r="AB140" s="89"/>
    </row>
    <row r="141" spans="1:28" s="10" customFormat="1" ht="15" thickBot="1" x14ac:dyDescent="0.3">
      <c r="A141" s="108" t="s">
        <v>437</v>
      </c>
      <c r="B141" s="307" t="s">
        <v>220</v>
      </c>
      <c r="C141" s="307"/>
      <c r="D141" s="109" t="s">
        <v>255</v>
      </c>
      <c r="E141" s="178" t="s">
        <v>270</v>
      </c>
      <c r="F141" s="53">
        <v>1</v>
      </c>
      <c r="G141" s="50">
        <v>80</v>
      </c>
      <c r="H141" s="68">
        <f>[4]BDI!F$25</f>
        <v>0.27079999999999999</v>
      </c>
      <c r="I141" s="53">
        <f t="shared" si="63"/>
        <v>101.66399999999999</v>
      </c>
      <c r="J141" s="55">
        <f t="shared" si="64"/>
        <v>101.66399999999999</v>
      </c>
      <c r="K141" s="87"/>
      <c r="L141" s="115"/>
      <c r="M141" s="88"/>
      <c r="N141" s="89"/>
      <c r="O141" s="89"/>
      <c r="P141" s="89"/>
      <c r="Q141" s="89"/>
      <c r="R141" s="89"/>
      <c r="S141" s="89"/>
      <c r="T141" s="89"/>
      <c r="U141" s="89"/>
      <c r="V141" s="89"/>
      <c r="W141" s="89"/>
      <c r="X141" s="89"/>
      <c r="Y141" s="89"/>
      <c r="Z141" s="89"/>
      <c r="AA141" s="89"/>
      <c r="AB141" s="89"/>
    </row>
    <row r="142" spans="1:28" s="1" customFormat="1" ht="15.75" customHeight="1" thickBot="1" x14ac:dyDescent="0.3">
      <c r="A142" s="314"/>
      <c r="B142" s="315"/>
      <c r="C142" s="315"/>
      <c r="D142" s="315"/>
      <c r="E142" s="315"/>
      <c r="F142" s="315"/>
      <c r="G142" s="315"/>
      <c r="H142" s="315"/>
      <c r="I142" s="315"/>
      <c r="J142" s="316"/>
      <c r="K142" s="114"/>
      <c r="L142" s="115"/>
      <c r="M142" s="88"/>
      <c r="N142" s="89"/>
      <c r="O142" s="89"/>
      <c r="P142" s="89"/>
      <c r="Q142" s="89"/>
      <c r="R142" s="89"/>
      <c r="S142" s="89"/>
      <c r="T142" s="89"/>
      <c r="U142" s="89"/>
      <c r="V142" s="89"/>
      <c r="W142" s="89"/>
      <c r="X142" s="89"/>
      <c r="Y142" s="89"/>
      <c r="Z142" s="89"/>
      <c r="AA142" s="89"/>
      <c r="AB142" s="89"/>
    </row>
    <row r="143" spans="1:28" s="89" customFormat="1" ht="24" thickBot="1" x14ac:dyDescent="0.3">
      <c r="A143" s="179"/>
      <c r="B143" s="180"/>
      <c r="C143" s="180"/>
      <c r="D143" s="181" t="s">
        <v>83</v>
      </c>
      <c r="E143" s="180"/>
      <c r="F143" s="180"/>
      <c r="G143" s="182"/>
      <c r="H143" s="183"/>
      <c r="I143" s="312">
        <f>J135+J132+J128+J119+J114+J110+J106+J73+J33+J29+J27+J21+J15+J13+J10</f>
        <v>362067.56523008004</v>
      </c>
      <c r="J143" s="313"/>
      <c r="K143" s="114"/>
      <c r="L143" s="118"/>
      <c r="M143" s="88"/>
    </row>
    <row r="144" spans="1:28" x14ac:dyDescent="0.2">
      <c r="A144" s="332"/>
      <c r="B144" s="333"/>
      <c r="C144" s="333"/>
      <c r="D144" s="333"/>
      <c r="E144" s="333"/>
      <c r="F144" s="333"/>
      <c r="G144" s="333"/>
      <c r="H144" s="333"/>
      <c r="I144" s="333"/>
      <c r="J144" s="334"/>
      <c r="K144" s="119"/>
    </row>
    <row r="145" spans="1:10" x14ac:dyDescent="0.2">
      <c r="A145" s="335"/>
      <c r="B145" s="336"/>
      <c r="C145" s="336"/>
      <c r="D145" s="336"/>
      <c r="E145" s="336"/>
      <c r="F145" s="336"/>
      <c r="G145" s="336"/>
      <c r="H145" s="336"/>
      <c r="I145" s="336"/>
      <c r="J145" s="337"/>
    </row>
    <row r="146" spans="1:10" x14ac:dyDescent="0.2">
      <c r="A146" s="335"/>
      <c r="B146" s="336"/>
      <c r="C146" s="336"/>
      <c r="D146" s="336"/>
      <c r="E146" s="336"/>
      <c r="F146" s="336"/>
      <c r="G146" s="336"/>
      <c r="H146" s="336"/>
      <c r="I146" s="336"/>
      <c r="J146" s="337"/>
    </row>
    <row r="147" spans="1:10" ht="15.75" x14ac:dyDescent="0.2">
      <c r="A147" s="335"/>
      <c r="B147" s="336"/>
      <c r="C147" s="336"/>
      <c r="D147" s="336"/>
      <c r="E147" s="295" t="s">
        <v>202</v>
      </c>
      <c r="F147" s="295"/>
      <c r="G147" s="295"/>
      <c r="H147" s="295"/>
      <c r="I147" s="336"/>
      <c r="J147" s="337"/>
    </row>
    <row r="148" spans="1:10" ht="15" customHeight="1" x14ac:dyDescent="0.2">
      <c r="A148" s="335"/>
      <c r="B148" s="336"/>
      <c r="C148" s="336"/>
      <c r="D148" s="336"/>
      <c r="E148" s="279" t="s">
        <v>95</v>
      </c>
      <c r="F148" s="279"/>
      <c r="G148" s="279"/>
      <c r="H148" s="279"/>
      <c r="I148" s="336"/>
      <c r="J148" s="337"/>
    </row>
    <row r="149" spans="1:10" ht="15.75" customHeight="1" thickBot="1" x14ac:dyDescent="0.25">
      <c r="A149" s="340"/>
      <c r="B149" s="338"/>
      <c r="C149" s="338"/>
      <c r="D149" s="338"/>
      <c r="E149" s="331"/>
      <c r="F149" s="331"/>
      <c r="G149" s="331"/>
      <c r="H149" s="331"/>
      <c r="I149" s="338"/>
      <c r="J149" s="339"/>
    </row>
    <row r="150" spans="1:10" x14ac:dyDescent="0.2">
      <c r="D150" s="3"/>
    </row>
    <row r="152" spans="1:10" x14ac:dyDescent="0.2">
      <c r="J152" s="23"/>
    </row>
    <row r="153" spans="1:10" x14ac:dyDescent="0.2">
      <c r="J153" s="23"/>
    </row>
  </sheetData>
  <mergeCells count="32">
    <mergeCell ref="E147:H147"/>
    <mergeCell ref="E149:H149"/>
    <mergeCell ref="E148:H148"/>
    <mergeCell ref="A144:J146"/>
    <mergeCell ref="I147:J149"/>
    <mergeCell ref="A147:D149"/>
    <mergeCell ref="H2:J2"/>
    <mergeCell ref="H3:J3"/>
    <mergeCell ref="A9:I9"/>
    <mergeCell ref="A1:J1"/>
    <mergeCell ref="A6:J6"/>
    <mergeCell ref="A2:E2"/>
    <mergeCell ref="A3:E3"/>
    <mergeCell ref="H4:J4"/>
    <mergeCell ref="A4:E4"/>
    <mergeCell ref="A5:E5"/>
    <mergeCell ref="I143:J143"/>
    <mergeCell ref="A142:J142"/>
    <mergeCell ref="B111:C111"/>
    <mergeCell ref="B129:C129"/>
    <mergeCell ref="B130:C130"/>
    <mergeCell ref="B131:C131"/>
    <mergeCell ref="B28:C28"/>
    <mergeCell ref="B140:C140"/>
    <mergeCell ref="B141:C141"/>
    <mergeCell ref="F5:J5"/>
    <mergeCell ref="B109:C109"/>
    <mergeCell ref="B107:C107"/>
    <mergeCell ref="B101:C101"/>
    <mergeCell ref="B102:C102"/>
    <mergeCell ref="B103:C103"/>
    <mergeCell ref="B108:C108"/>
  </mergeCells>
  <pageMargins left="0.511811024" right="0.511811024" top="0.78740157499999996" bottom="0.78740157499999996" header="0.31496062000000002" footer="0.31496062000000002"/>
  <pageSetup paperSize="9" scale="39" fitToHeight="0" orientation="portrait" r:id="rId1"/>
  <rowBreaks count="1" manualBreakCount="1">
    <brk id="72" max="1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51"/>
  <sheetViews>
    <sheetView view="pageBreakPreview" zoomScale="55" zoomScaleNormal="55" zoomScaleSheetLayoutView="55" workbookViewId="0">
      <selection activeCell="AB127" sqref="AA127:AB127"/>
    </sheetView>
  </sheetViews>
  <sheetFormatPr defaultColWidth="9.140625" defaultRowHeight="14.25" x14ac:dyDescent="0.2"/>
  <cols>
    <col min="1" max="1" width="6.140625" style="2" customWidth="1"/>
    <col min="2" max="2" width="8.42578125" style="16" bestFit="1" customWidth="1"/>
    <col min="3" max="3" width="89.5703125" style="2" customWidth="1"/>
    <col min="4" max="4" width="23.85546875" style="17" customWidth="1"/>
    <col min="5" max="5" width="11.42578125" style="2" bestFit="1" customWidth="1"/>
    <col min="6" max="6" width="11.7109375" style="2" bestFit="1" customWidth="1"/>
    <col min="7" max="7" width="12" style="2" bestFit="1" customWidth="1"/>
    <col min="8" max="8" width="11.7109375" style="2" customWidth="1"/>
    <col min="9" max="9" width="12" style="2" bestFit="1" customWidth="1"/>
    <col min="10" max="10" width="11.7109375" style="2" bestFit="1" customWidth="1"/>
    <col min="11" max="11" width="12" style="2" bestFit="1" customWidth="1"/>
    <col min="12" max="12" width="11.7109375" style="2" bestFit="1" customWidth="1"/>
    <col min="13" max="13" width="12" style="2" bestFit="1" customWidth="1"/>
    <col min="14" max="14" width="11.7109375" style="2" bestFit="1" customWidth="1"/>
    <col min="15" max="15" width="12" style="2" bestFit="1" customWidth="1"/>
    <col min="16" max="16" width="11.7109375" style="2" bestFit="1" customWidth="1"/>
    <col min="17" max="17" width="12" style="2" bestFit="1" customWidth="1"/>
    <col min="18" max="16384" width="9.140625" style="3"/>
  </cols>
  <sheetData>
    <row r="1" spans="1:17" ht="72" customHeight="1" x14ac:dyDescent="0.2">
      <c r="A1" s="376" t="s">
        <v>256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  <c r="O1" s="377"/>
      <c r="P1" s="377"/>
      <c r="Q1" s="377"/>
    </row>
    <row r="2" spans="1:17" x14ac:dyDescent="0.2">
      <c r="A2" s="329" t="s">
        <v>201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</row>
    <row r="3" spans="1:17" ht="13.9" x14ac:dyDescent="0.25">
      <c r="A3" s="329" t="s">
        <v>200</v>
      </c>
      <c r="B3" s="330"/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0"/>
      <c r="P3" s="330"/>
      <c r="Q3" s="330"/>
    </row>
    <row r="4" spans="1:17" ht="13.9" x14ac:dyDescent="0.25">
      <c r="A4" s="329" t="s">
        <v>2</v>
      </c>
      <c r="B4" s="330"/>
      <c r="C4" s="330"/>
      <c r="D4" s="330"/>
      <c r="E4" s="330"/>
      <c r="F4" s="330"/>
      <c r="G4" s="330"/>
      <c r="H4" s="330"/>
      <c r="I4" s="330"/>
      <c r="J4" s="330"/>
      <c r="K4" s="330"/>
      <c r="L4" s="330"/>
      <c r="M4" s="330"/>
      <c r="N4" s="330"/>
      <c r="O4" s="330"/>
      <c r="P4" s="330"/>
      <c r="Q4" s="330"/>
    </row>
    <row r="5" spans="1:17" ht="14.45" thickBot="1" x14ac:dyDescent="0.3">
      <c r="A5" s="329" t="s">
        <v>3</v>
      </c>
      <c r="B5" s="330"/>
      <c r="C5" s="330"/>
      <c r="D5" s="330"/>
      <c r="E5" s="330"/>
      <c r="F5" s="330"/>
      <c r="G5" s="330"/>
      <c r="H5" s="330"/>
      <c r="I5" s="330"/>
      <c r="J5" s="330"/>
      <c r="K5" s="330"/>
      <c r="L5" s="330"/>
      <c r="M5" s="330"/>
      <c r="N5" s="330"/>
      <c r="O5" s="330"/>
      <c r="P5" s="330"/>
      <c r="Q5" s="330"/>
    </row>
    <row r="6" spans="1:17" ht="15.75" thickBot="1" x14ac:dyDescent="0.3">
      <c r="A6" s="380" t="s">
        <v>71</v>
      </c>
      <c r="B6" s="381"/>
      <c r="C6" s="381"/>
      <c r="D6" s="381"/>
      <c r="E6" s="381"/>
      <c r="F6" s="381"/>
      <c r="G6" s="381"/>
      <c r="H6" s="381"/>
      <c r="I6" s="381"/>
      <c r="J6" s="381"/>
      <c r="K6" s="381"/>
      <c r="L6" s="381"/>
      <c r="M6" s="381"/>
      <c r="N6" s="381"/>
      <c r="O6" s="381"/>
      <c r="P6" s="381"/>
      <c r="Q6" s="381"/>
    </row>
    <row r="7" spans="1:17" s="24" customFormat="1" ht="15.75" thickBot="1" x14ac:dyDescent="0.3">
      <c r="A7" s="364" t="s">
        <v>72</v>
      </c>
      <c r="B7" s="365"/>
      <c r="C7" s="365" t="s">
        <v>73</v>
      </c>
      <c r="D7" s="370" t="s">
        <v>74</v>
      </c>
      <c r="E7" s="361" t="s">
        <v>75</v>
      </c>
      <c r="F7" s="378" t="s">
        <v>76</v>
      </c>
      <c r="G7" s="379"/>
      <c r="H7" s="379"/>
      <c r="I7" s="379"/>
      <c r="J7" s="379"/>
      <c r="K7" s="379"/>
      <c r="L7" s="379"/>
      <c r="M7" s="379"/>
      <c r="N7" s="379"/>
      <c r="O7" s="379"/>
      <c r="P7" s="379"/>
      <c r="Q7" s="379"/>
    </row>
    <row r="8" spans="1:17" s="24" customFormat="1" ht="15" x14ac:dyDescent="0.25">
      <c r="A8" s="366"/>
      <c r="B8" s="367"/>
      <c r="C8" s="367"/>
      <c r="D8" s="371"/>
      <c r="E8" s="362"/>
      <c r="F8" s="359" t="s">
        <v>77</v>
      </c>
      <c r="G8" s="360"/>
      <c r="H8" s="382" t="s">
        <v>78</v>
      </c>
      <c r="I8" s="382"/>
      <c r="J8" s="359" t="s">
        <v>79</v>
      </c>
      <c r="K8" s="360"/>
      <c r="L8" s="382" t="s">
        <v>80</v>
      </c>
      <c r="M8" s="382"/>
      <c r="N8" s="359" t="s">
        <v>113</v>
      </c>
      <c r="O8" s="360"/>
      <c r="P8" s="382" t="s">
        <v>114</v>
      </c>
      <c r="Q8" s="382"/>
    </row>
    <row r="9" spans="1:17" s="24" customFormat="1" ht="15.75" thickBot="1" x14ac:dyDescent="0.3">
      <c r="A9" s="368"/>
      <c r="B9" s="369"/>
      <c r="C9" s="369"/>
      <c r="D9" s="372"/>
      <c r="E9" s="363"/>
      <c r="F9" s="140" t="s">
        <v>81</v>
      </c>
      <c r="G9" s="138" t="s">
        <v>82</v>
      </c>
      <c r="H9" s="139" t="s">
        <v>81</v>
      </c>
      <c r="I9" s="141" t="s">
        <v>82</v>
      </c>
      <c r="J9" s="140" t="s">
        <v>81</v>
      </c>
      <c r="K9" s="138" t="s">
        <v>82</v>
      </c>
      <c r="L9" s="139" t="s">
        <v>81</v>
      </c>
      <c r="M9" s="141" t="s">
        <v>82</v>
      </c>
      <c r="N9" s="140" t="s">
        <v>81</v>
      </c>
      <c r="O9" s="138" t="s">
        <v>82</v>
      </c>
      <c r="P9" s="139" t="s">
        <v>81</v>
      </c>
      <c r="Q9" s="141" t="s">
        <v>82</v>
      </c>
    </row>
    <row r="10" spans="1:17" s="89" customFormat="1" ht="15" x14ac:dyDescent="0.25">
      <c r="A10" s="347">
        <v>1</v>
      </c>
      <c r="B10" s="142">
        <f>PO!$A$10</f>
        <v>1</v>
      </c>
      <c r="C10" s="143" t="str">
        <f>PO!$D$10</f>
        <v>CANTEIRO DE OBRAS E PREPARAÇÃO DO TERRENO</v>
      </c>
      <c r="D10" s="144">
        <f>SUM(D11:D12)</f>
        <v>10007.264069999997</v>
      </c>
      <c r="E10" s="145">
        <f t="shared" ref="E10:E41" si="0">D10/$D$135</f>
        <v>2.7639217182132195E-2</v>
      </c>
      <c r="F10" s="146"/>
      <c r="G10" s="147">
        <v>0</v>
      </c>
      <c r="H10" s="148"/>
      <c r="I10" s="149"/>
      <c r="J10" s="146"/>
      <c r="K10" s="147"/>
      <c r="L10" s="148"/>
      <c r="M10" s="149"/>
      <c r="N10" s="146"/>
      <c r="O10" s="147"/>
      <c r="P10" s="148"/>
      <c r="Q10" s="149"/>
    </row>
    <row r="11" spans="1:17" s="89" customFormat="1" ht="15" x14ac:dyDescent="0.25">
      <c r="A11" s="348"/>
      <c r="B11" s="150" t="str">
        <f>PO!A11</f>
        <v>1.1</v>
      </c>
      <c r="C11" s="151" t="str">
        <f>PO!D11</f>
        <v>PLACA DE OBRA EM CHAPA DE ACO GALVANIZADO</v>
      </c>
      <c r="D11" s="152">
        <f>PO!J11</f>
        <v>1082.4356699999998</v>
      </c>
      <c r="E11" s="153">
        <f t="shared" si="0"/>
        <v>2.989595793570058E-3</v>
      </c>
      <c r="F11" s="154">
        <v>100</v>
      </c>
      <c r="G11" s="155">
        <f t="shared" ref="G11" si="1">F11</f>
        <v>100</v>
      </c>
      <c r="H11" s="156"/>
      <c r="I11" s="157">
        <f t="shared" ref="I11" si="2">G11+H11</f>
        <v>100</v>
      </c>
      <c r="J11" s="154"/>
      <c r="K11" s="155">
        <f t="shared" ref="K11" si="3">I11+J11</f>
        <v>100</v>
      </c>
      <c r="L11" s="156"/>
      <c r="M11" s="157">
        <f t="shared" ref="M11" si="4">K11+L11</f>
        <v>100</v>
      </c>
      <c r="N11" s="154"/>
      <c r="O11" s="155">
        <f t="shared" ref="O11:O12" si="5">M11+N11</f>
        <v>100</v>
      </c>
      <c r="P11" s="156"/>
      <c r="Q11" s="157">
        <f t="shared" ref="Q11:Q12" si="6">O11+P11</f>
        <v>100</v>
      </c>
    </row>
    <row r="12" spans="1:17" s="89" customFormat="1" ht="29.25" thickBot="1" x14ac:dyDescent="0.3">
      <c r="A12" s="348"/>
      <c r="B12" s="158" t="str">
        <f>PO!A12</f>
        <v>1.2</v>
      </c>
      <c r="C12" s="159" t="str">
        <f>PO!D12</f>
        <v>EXECUÇÃO DE SANITÁRIO E VESTIÁRIO EM CANTEIRO DE OBRA EM CHAPA DE MADEIRA COMPENSADA, NÃO INCLUSO MOBILIÁRIO. AF_02/2016</v>
      </c>
      <c r="D12" s="160">
        <f>PO!J12</f>
        <v>8924.8283999999985</v>
      </c>
      <c r="E12" s="161">
        <f t="shared" si="0"/>
        <v>2.4649621388562141E-2</v>
      </c>
      <c r="F12" s="162">
        <v>100</v>
      </c>
      <c r="G12" s="163">
        <f t="shared" ref="G12" si="7">F12</f>
        <v>100</v>
      </c>
      <c r="H12" s="164"/>
      <c r="I12" s="165">
        <f t="shared" ref="I12" si="8">G12+H12</f>
        <v>100</v>
      </c>
      <c r="J12" s="162"/>
      <c r="K12" s="163">
        <f t="shared" ref="K12" si="9">I12+J12</f>
        <v>100</v>
      </c>
      <c r="L12" s="164"/>
      <c r="M12" s="165">
        <f t="shared" ref="M12" si="10">K12+L12</f>
        <v>100</v>
      </c>
      <c r="N12" s="162"/>
      <c r="O12" s="163">
        <f t="shared" si="5"/>
        <v>100</v>
      </c>
      <c r="P12" s="164"/>
      <c r="Q12" s="165">
        <f t="shared" si="6"/>
        <v>100</v>
      </c>
    </row>
    <row r="13" spans="1:17" s="89" customFormat="1" ht="15" x14ac:dyDescent="0.25">
      <c r="A13" s="344">
        <v>2</v>
      </c>
      <c r="B13" s="142">
        <f>PO!$A$13</f>
        <v>2</v>
      </c>
      <c r="C13" s="143" t="str">
        <f>PO!$D$13</f>
        <v>LOCAÇÃO</v>
      </c>
      <c r="D13" s="144">
        <f>D14</f>
        <v>3186.4420440000004</v>
      </c>
      <c r="E13" s="145">
        <f t="shared" si="0"/>
        <v>8.8006834911465732E-3</v>
      </c>
      <c r="F13" s="146"/>
      <c r="G13" s="147">
        <v>0</v>
      </c>
      <c r="H13" s="148"/>
      <c r="I13" s="149"/>
      <c r="J13" s="146"/>
      <c r="K13" s="147"/>
      <c r="L13" s="148"/>
      <c r="M13" s="149"/>
      <c r="N13" s="146"/>
      <c r="O13" s="147"/>
      <c r="P13" s="148"/>
      <c r="Q13" s="149"/>
    </row>
    <row r="14" spans="1:17" s="89" customFormat="1" ht="29.25" thickBot="1" x14ac:dyDescent="0.3">
      <c r="A14" s="349"/>
      <c r="B14" s="166" t="str">
        <f>PO!$A$14</f>
        <v>2.1</v>
      </c>
      <c r="C14" s="167" t="str">
        <f>PO!$D$14</f>
        <v>LOCACAO CONVENCIONAL DE OBRA, UTILIZANDO GABARITO DE TÁBUAS CORRIDAS PONTALETADAS A CADA 2,00M - 2 UTILIZAÇÕES. AF_10/2018</v>
      </c>
      <c r="D14" s="168">
        <f>PO!J14</f>
        <v>3186.4420440000004</v>
      </c>
      <c r="E14" s="169">
        <f t="shared" si="0"/>
        <v>8.8006834911465732E-3</v>
      </c>
      <c r="F14" s="170">
        <v>100</v>
      </c>
      <c r="G14" s="171">
        <f t="shared" ref="G14" si="11">F14</f>
        <v>100</v>
      </c>
      <c r="H14" s="172"/>
      <c r="I14" s="173">
        <f t="shared" ref="I14" si="12">G14+H14</f>
        <v>100</v>
      </c>
      <c r="J14" s="170"/>
      <c r="K14" s="171">
        <f t="shared" ref="K14" si="13">I14+J14</f>
        <v>100</v>
      </c>
      <c r="L14" s="172"/>
      <c r="M14" s="173">
        <f t="shared" ref="M14" si="14">K14+L14</f>
        <v>100</v>
      </c>
      <c r="N14" s="170"/>
      <c r="O14" s="171">
        <f t="shared" ref="O14" si="15">M14+N14</f>
        <v>100</v>
      </c>
      <c r="P14" s="172"/>
      <c r="Q14" s="173">
        <f t="shared" ref="Q14" si="16">O14+P14</f>
        <v>100</v>
      </c>
    </row>
    <row r="15" spans="1:17" s="89" customFormat="1" ht="15" x14ac:dyDescent="0.25">
      <c r="A15" s="344">
        <v>3</v>
      </c>
      <c r="B15" s="142">
        <f>PO!A15</f>
        <v>3</v>
      </c>
      <c r="C15" s="143" t="str">
        <f>PO!D15</f>
        <v>FUNDAÇÃO</v>
      </c>
      <c r="D15" s="144">
        <f>SUM(D16:D20)</f>
        <v>25629.872590079998</v>
      </c>
      <c r="E15" s="145">
        <f t="shared" si="0"/>
        <v>7.0787540921521647E-2</v>
      </c>
      <c r="F15" s="146"/>
      <c r="G15" s="147">
        <v>0</v>
      </c>
      <c r="H15" s="148"/>
      <c r="I15" s="149"/>
      <c r="J15" s="146"/>
      <c r="K15" s="147"/>
      <c r="L15" s="148"/>
      <c r="M15" s="149"/>
      <c r="N15" s="146"/>
      <c r="O15" s="147"/>
      <c r="P15" s="148"/>
      <c r="Q15" s="149"/>
    </row>
    <row r="16" spans="1:17" s="89" customFormat="1" ht="28.5" x14ac:dyDescent="0.25">
      <c r="A16" s="345"/>
      <c r="B16" s="150" t="str">
        <f>PO!A16</f>
        <v>3.1</v>
      </c>
      <c r="C16" s="151" t="str">
        <f>PO!D16</f>
        <v xml:space="preserve"> ARMAÇÃO DE BLOCO, VIGA BALDRAME E SAPATA UTILIZANDO AÇO CA-60 DE 5 MM - MONTAGEM. AF_06/2017</v>
      </c>
      <c r="D16" s="152">
        <f>PO!J16</f>
        <v>830.78804159999993</v>
      </c>
      <c r="E16" s="153">
        <f t="shared" si="0"/>
        <v>2.2945663223715332E-3</v>
      </c>
      <c r="F16" s="154">
        <v>75</v>
      </c>
      <c r="G16" s="155">
        <f t="shared" ref="G16" si="17">F16</f>
        <v>75</v>
      </c>
      <c r="H16" s="156">
        <v>25</v>
      </c>
      <c r="I16" s="157">
        <f t="shared" ref="I16" si="18">G16+H16</f>
        <v>100</v>
      </c>
      <c r="J16" s="154"/>
      <c r="K16" s="155">
        <f t="shared" ref="K16" si="19">I16+J16</f>
        <v>100</v>
      </c>
      <c r="L16" s="156"/>
      <c r="M16" s="157">
        <f t="shared" ref="M16" si="20">K16+L16</f>
        <v>100</v>
      </c>
      <c r="N16" s="154"/>
      <c r="O16" s="155">
        <f t="shared" ref="O16" si="21">M16+N16</f>
        <v>100</v>
      </c>
      <c r="P16" s="156"/>
      <c r="Q16" s="157">
        <f t="shared" ref="Q16" si="22">O16+P16</f>
        <v>100</v>
      </c>
    </row>
    <row r="17" spans="1:17" s="89" customFormat="1" ht="28.5" x14ac:dyDescent="0.25">
      <c r="A17" s="345"/>
      <c r="B17" s="150" t="str">
        <f>PO!A17</f>
        <v>3.2</v>
      </c>
      <c r="C17" s="151" t="str">
        <f>PO!D17</f>
        <v>ARMAÇÃO DE BLOCO, VIGA BALDRAME OU SAPATA UTILIZANDO AÇO CA-50 DE 8 MM - MONTAGEM. AF_06/2017</v>
      </c>
      <c r="D17" s="152">
        <f>PO!J17</f>
        <v>1868.0150016</v>
      </c>
      <c r="E17" s="153">
        <f t="shared" si="0"/>
        <v>5.1592994816118043E-3</v>
      </c>
      <c r="F17" s="154">
        <v>75</v>
      </c>
      <c r="G17" s="155">
        <f t="shared" ref="G17:G20" si="23">F17</f>
        <v>75</v>
      </c>
      <c r="H17" s="156">
        <v>25</v>
      </c>
      <c r="I17" s="157">
        <f t="shared" ref="I17:I20" si="24">G17+H17</f>
        <v>100</v>
      </c>
      <c r="J17" s="154"/>
      <c r="K17" s="155">
        <f t="shared" ref="K17:K20" si="25">I17+J17</f>
        <v>100</v>
      </c>
      <c r="L17" s="156"/>
      <c r="M17" s="157">
        <f t="shared" ref="M17:M20" si="26">K17+L17</f>
        <v>100</v>
      </c>
      <c r="N17" s="154"/>
      <c r="O17" s="155">
        <f t="shared" ref="O17:O20" si="27">M17+N17</f>
        <v>100</v>
      </c>
      <c r="P17" s="156"/>
      <c r="Q17" s="157">
        <f t="shared" ref="Q17:Q20" si="28">O17+P17</f>
        <v>100</v>
      </c>
    </row>
    <row r="18" spans="1:17" s="89" customFormat="1" ht="28.5" x14ac:dyDescent="0.25">
      <c r="A18" s="345"/>
      <c r="B18" s="150" t="str">
        <f>PO!A18</f>
        <v>3.3</v>
      </c>
      <c r="C18" s="151" t="str">
        <f>PO!D18</f>
        <v xml:space="preserve"> ARMAÇÃO DE BLOCO, VIGA BALDRAME OU SAPATA UTILIZANDO AÇO CA-50 DE 10 MM - MONTAGEM. AF_06/2017</v>
      </c>
      <c r="D18" s="152">
        <f>PO!J18</f>
        <v>1993.8242016000002</v>
      </c>
      <c r="E18" s="153">
        <f t="shared" si="0"/>
        <v>5.5067738540263925E-3</v>
      </c>
      <c r="F18" s="154">
        <v>75</v>
      </c>
      <c r="G18" s="155">
        <f t="shared" si="23"/>
        <v>75</v>
      </c>
      <c r="H18" s="156">
        <v>25</v>
      </c>
      <c r="I18" s="157">
        <f t="shared" si="24"/>
        <v>100</v>
      </c>
      <c r="J18" s="154"/>
      <c r="K18" s="155">
        <f t="shared" si="25"/>
        <v>100</v>
      </c>
      <c r="L18" s="156"/>
      <c r="M18" s="157">
        <f t="shared" si="26"/>
        <v>100</v>
      </c>
      <c r="N18" s="154"/>
      <c r="O18" s="155">
        <f t="shared" si="27"/>
        <v>100</v>
      </c>
      <c r="P18" s="156"/>
      <c r="Q18" s="157">
        <f t="shared" si="28"/>
        <v>100</v>
      </c>
    </row>
    <row r="19" spans="1:17" s="89" customFormat="1" ht="28.5" x14ac:dyDescent="0.25">
      <c r="A19" s="346"/>
      <c r="B19" s="150" t="str">
        <f>PO!A19</f>
        <v>3.4</v>
      </c>
      <c r="C19" s="151" t="str">
        <f>PO!D19</f>
        <v>CONCRETAGEM DE SAPATAS, FCK 30 MPA, COM USO DE BOMBA  LANÇAMENTO, ADENSAMENTO E ACABAMENTO. AF_11/2016</v>
      </c>
      <c r="D19" s="152">
        <f>PO!J19</f>
        <v>3226.5307008</v>
      </c>
      <c r="E19" s="153">
        <f t="shared" si="0"/>
        <v>8.911404971471729E-3</v>
      </c>
      <c r="F19" s="154">
        <v>75</v>
      </c>
      <c r="G19" s="155">
        <f t="shared" si="23"/>
        <v>75</v>
      </c>
      <c r="H19" s="156">
        <v>25</v>
      </c>
      <c r="I19" s="157">
        <f t="shared" si="24"/>
        <v>100</v>
      </c>
      <c r="J19" s="154"/>
      <c r="K19" s="155">
        <f t="shared" si="25"/>
        <v>100</v>
      </c>
      <c r="L19" s="156"/>
      <c r="M19" s="157">
        <f t="shared" si="26"/>
        <v>100</v>
      </c>
      <c r="N19" s="154"/>
      <c r="O19" s="155">
        <f t="shared" si="27"/>
        <v>100</v>
      </c>
      <c r="P19" s="156"/>
      <c r="Q19" s="157">
        <f t="shared" si="28"/>
        <v>100</v>
      </c>
    </row>
    <row r="20" spans="1:17" s="89" customFormat="1" ht="29.25" thickBot="1" x14ac:dyDescent="0.3">
      <c r="A20" s="346"/>
      <c r="B20" s="150" t="str">
        <f>PO!A20</f>
        <v>3.5</v>
      </c>
      <c r="C20" s="151" t="str">
        <f>PO!D20</f>
        <v>FABRICAÇÃO, MONTAGEM E DESMONTAGEM DE FÔRMA PARA SAPATA, EM MADEIRA SERRADA, E=25 MM, 2 UTILIZAÇÕES. AF_06/2017</v>
      </c>
      <c r="D20" s="152">
        <f>PO!J20</f>
        <v>17710.714644479998</v>
      </c>
      <c r="E20" s="153">
        <f t="shared" si="0"/>
        <v>4.8915496292040186E-2</v>
      </c>
      <c r="F20" s="154">
        <v>75</v>
      </c>
      <c r="G20" s="155">
        <f t="shared" si="23"/>
        <v>75</v>
      </c>
      <c r="H20" s="156">
        <v>25</v>
      </c>
      <c r="I20" s="157">
        <f t="shared" si="24"/>
        <v>100</v>
      </c>
      <c r="J20" s="154"/>
      <c r="K20" s="155">
        <f t="shared" si="25"/>
        <v>100</v>
      </c>
      <c r="L20" s="156"/>
      <c r="M20" s="157">
        <f t="shared" si="26"/>
        <v>100</v>
      </c>
      <c r="N20" s="154"/>
      <c r="O20" s="155">
        <f t="shared" si="27"/>
        <v>100</v>
      </c>
      <c r="P20" s="156"/>
      <c r="Q20" s="157">
        <f t="shared" si="28"/>
        <v>100</v>
      </c>
    </row>
    <row r="21" spans="1:17" s="89" customFormat="1" ht="15" x14ac:dyDescent="0.25">
      <c r="A21" s="344">
        <v>4</v>
      </c>
      <c r="B21" s="142">
        <f>PO!A21</f>
        <v>4</v>
      </c>
      <c r="C21" s="143" t="str">
        <f>PO!D21</f>
        <v>ESTRUTURA</v>
      </c>
      <c r="D21" s="144">
        <f>SUM(D22:D26)</f>
        <v>5103.0498959999995</v>
      </c>
      <c r="E21" s="145">
        <f t="shared" si="0"/>
        <v>1.4094192316721901E-2</v>
      </c>
      <c r="F21" s="146"/>
      <c r="G21" s="147">
        <v>0</v>
      </c>
      <c r="H21" s="148"/>
      <c r="I21" s="149"/>
      <c r="J21" s="146"/>
      <c r="K21" s="147"/>
      <c r="L21" s="148"/>
      <c r="M21" s="149"/>
      <c r="N21" s="146"/>
      <c r="O21" s="147"/>
      <c r="P21" s="148"/>
      <c r="Q21" s="149"/>
    </row>
    <row r="22" spans="1:17" s="89" customFormat="1" ht="28.5" x14ac:dyDescent="0.25">
      <c r="A22" s="345"/>
      <c r="B22" s="150" t="str">
        <f>PO!A22</f>
        <v>4.1</v>
      </c>
      <c r="C22" s="151" t="str">
        <f>PO!D22</f>
        <v>CORTE E DOBRA DE AÇO CA-60, DIÂMETRO DE 5,0 MM, UTILIZADO EM ESTRUTURAS DIVERSAS, EXCETO LAJES. AF_12/2015</v>
      </c>
      <c r="D22" s="152">
        <f>PO!J22</f>
        <v>162.36249119999999</v>
      </c>
      <c r="E22" s="153">
        <f t="shared" si="0"/>
        <v>4.484314718906811E-4</v>
      </c>
      <c r="F22" s="154">
        <v>10</v>
      </c>
      <c r="G22" s="155">
        <f t="shared" ref="G22:G26" si="29">F22</f>
        <v>10</v>
      </c>
      <c r="H22" s="156">
        <v>80</v>
      </c>
      <c r="I22" s="157">
        <f t="shared" ref="I22:I26" si="30">G22+H22</f>
        <v>90</v>
      </c>
      <c r="J22" s="154">
        <v>10</v>
      </c>
      <c r="K22" s="155">
        <f t="shared" ref="K22:K26" si="31">I22+J22</f>
        <v>100</v>
      </c>
      <c r="L22" s="156"/>
      <c r="M22" s="157">
        <f t="shared" ref="M22:M26" si="32">K22+L22</f>
        <v>100</v>
      </c>
      <c r="N22" s="154"/>
      <c r="O22" s="155">
        <f t="shared" ref="O22:O26" si="33">M22+N22</f>
        <v>100</v>
      </c>
      <c r="P22" s="156"/>
      <c r="Q22" s="157">
        <f t="shared" ref="Q22:Q26" si="34">O22+P22</f>
        <v>100</v>
      </c>
    </row>
    <row r="23" spans="1:17" s="89" customFormat="1" ht="28.5" x14ac:dyDescent="0.25">
      <c r="A23" s="345"/>
      <c r="B23" s="150" t="str">
        <f>PO!A23</f>
        <v>4.2</v>
      </c>
      <c r="C23" s="151" t="str">
        <f>PO!D23</f>
        <v>CORTE E DOBRA DE AÇO CA-50, DIÂMETRO DE 8,0 MM, UTILIZADO EM ESTRUTURAS DIVERSAS, EXCETO LAJES. AF_12/2015</v>
      </c>
      <c r="D23" s="152">
        <f>PO!J23</f>
        <v>112.78604159999999</v>
      </c>
      <c r="E23" s="153">
        <f t="shared" si="0"/>
        <v>3.1150551010645979E-4</v>
      </c>
      <c r="F23" s="154">
        <v>10</v>
      </c>
      <c r="G23" s="155">
        <f t="shared" si="29"/>
        <v>10</v>
      </c>
      <c r="H23" s="156">
        <v>80</v>
      </c>
      <c r="I23" s="157">
        <f t="shared" si="30"/>
        <v>90</v>
      </c>
      <c r="J23" s="154">
        <v>10</v>
      </c>
      <c r="K23" s="155">
        <f t="shared" si="31"/>
        <v>100</v>
      </c>
      <c r="L23" s="156"/>
      <c r="M23" s="157">
        <f t="shared" si="32"/>
        <v>100</v>
      </c>
      <c r="N23" s="154"/>
      <c r="O23" s="155">
        <f t="shared" si="33"/>
        <v>100</v>
      </c>
      <c r="P23" s="156"/>
      <c r="Q23" s="157">
        <f t="shared" si="34"/>
        <v>100</v>
      </c>
    </row>
    <row r="24" spans="1:17" s="89" customFormat="1" ht="28.5" x14ac:dyDescent="0.25">
      <c r="A24" s="345"/>
      <c r="B24" s="150" t="str">
        <f>PO!A24</f>
        <v>4.3</v>
      </c>
      <c r="C24" s="151" t="str">
        <f>PO!D24</f>
        <v>CORTE E DOBRA DE AÇO CA-50, DIÂMETRO DE 10,0 MM, UTILIZADO EM ESTRUTURAS DIVERSAS, EXCETO LAJES. AF_12/2015</v>
      </c>
      <c r="D24" s="152">
        <f>PO!J24</f>
        <v>524.23677000000009</v>
      </c>
      <c r="E24" s="153">
        <f t="shared" si="0"/>
        <v>1.447897631114424E-3</v>
      </c>
      <c r="F24" s="154">
        <v>10</v>
      </c>
      <c r="G24" s="155">
        <f t="shared" si="29"/>
        <v>10</v>
      </c>
      <c r="H24" s="156">
        <v>80</v>
      </c>
      <c r="I24" s="157">
        <f t="shared" si="30"/>
        <v>90</v>
      </c>
      <c r="J24" s="154">
        <v>10</v>
      </c>
      <c r="K24" s="155">
        <f t="shared" si="31"/>
        <v>100</v>
      </c>
      <c r="L24" s="156"/>
      <c r="M24" s="157">
        <f t="shared" si="32"/>
        <v>100</v>
      </c>
      <c r="N24" s="154"/>
      <c r="O24" s="155">
        <f t="shared" si="33"/>
        <v>100</v>
      </c>
      <c r="P24" s="156"/>
      <c r="Q24" s="157">
        <f t="shared" si="34"/>
        <v>100</v>
      </c>
    </row>
    <row r="25" spans="1:17" s="89" customFormat="1" ht="42.75" x14ac:dyDescent="0.25">
      <c r="A25" s="345"/>
      <c r="B25" s="150" t="str">
        <f>PO!A25</f>
        <v>4.4</v>
      </c>
      <c r="C25" s="151" t="str">
        <f>PO!D25</f>
        <v>MONTAGEM E DESMONTAGEM DE FÔRMA DE PILARES RETANGULARES E ESTRUTURAS SIMILARES COM ÁREA MÉDIA DAS SEÇÕES MAIOR QUE 0,25 M², PÉ-DIREITO SIMPLES, EM MADEIRA SERRADA, 1 UTILIZAÇÃO. AF_12/2015</v>
      </c>
      <c r="D25" s="152">
        <f>PO!J25</f>
        <v>3733.0443856799998</v>
      </c>
      <c r="E25" s="153">
        <f t="shared" si="0"/>
        <v>1.0310352940086731E-2</v>
      </c>
      <c r="F25" s="154">
        <v>10</v>
      </c>
      <c r="G25" s="155">
        <f t="shared" si="29"/>
        <v>10</v>
      </c>
      <c r="H25" s="156">
        <v>80</v>
      </c>
      <c r="I25" s="157">
        <f t="shared" si="30"/>
        <v>90</v>
      </c>
      <c r="J25" s="154">
        <v>10</v>
      </c>
      <c r="K25" s="155">
        <f t="shared" si="31"/>
        <v>100</v>
      </c>
      <c r="L25" s="156"/>
      <c r="M25" s="157">
        <f t="shared" si="32"/>
        <v>100</v>
      </c>
      <c r="N25" s="154"/>
      <c r="O25" s="155">
        <f t="shared" si="33"/>
        <v>100</v>
      </c>
      <c r="P25" s="156"/>
      <c r="Q25" s="157">
        <f t="shared" si="34"/>
        <v>100</v>
      </c>
    </row>
    <row r="26" spans="1:17" s="89" customFormat="1" ht="43.5" thickBot="1" x14ac:dyDescent="0.3">
      <c r="A26" s="345"/>
      <c r="B26" s="150" t="str">
        <f>PO!A26</f>
        <v>4.5</v>
      </c>
      <c r="C26" s="151" t="str">
        <f>PO!D26</f>
        <v>CONCRETAGEM DE PILARES, FCK = 25 MPA, COM USO DE GRUA EM EDIFICAÇÃO COM SEÇÃO MÉDIA DE PILARES MAIOR QUE 0,25 M² - LANÇAMENTO, ADENSAMENTO E ACABAMENTO. AF_12/2015</v>
      </c>
      <c r="D26" s="152">
        <f>PO!J26</f>
        <v>570.62020752000001</v>
      </c>
      <c r="E26" s="153">
        <f t="shared" si="0"/>
        <v>1.5760047635236059E-3</v>
      </c>
      <c r="F26" s="154">
        <v>10</v>
      </c>
      <c r="G26" s="155">
        <f t="shared" si="29"/>
        <v>10</v>
      </c>
      <c r="H26" s="156">
        <v>80</v>
      </c>
      <c r="I26" s="157">
        <f t="shared" si="30"/>
        <v>90</v>
      </c>
      <c r="J26" s="154">
        <v>10</v>
      </c>
      <c r="K26" s="155">
        <f t="shared" si="31"/>
        <v>100</v>
      </c>
      <c r="L26" s="156"/>
      <c r="M26" s="157">
        <f t="shared" si="32"/>
        <v>100</v>
      </c>
      <c r="N26" s="154"/>
      <c r="O26" s="155">
        <f t="shared" si="33"/>
        <v>100</v>
      </c>
      <c r="P26" s="156"/>
      <c r="Q26" s="157">
        <f t="shared" si="34"/>
        <v>100</v>
      </c>
    </row>
    <row r="27" spans="1:17" s="89" customFormat="1" ht="16.5" customHeight="1" x14ac:dyDescent="0.25">
      <c r="A27" s="347">
        <v>5</v>
      </c>
      <c r="B27" s="142">
        <f>PO!A27</f>
        <v>5</v>
      </c>
      <c r="C27" s="143" t="str">
        <f>PO!D27</f>
        <v>CONTAINERS</v>
      </c>
      <c r="D27" s="144">
        <f>PO!J27</f>
        <v>126311.166</v>
      </c>
      <c r="E27" s="145">
        <f t="shared" si="0"/>
        <v>0.34886076006210082</v>
      </c>
      <c r="F27" s="146"/>
      <c r="G27" s="147"/>
      <c r="H27" s="148"/>
      <c r="I27" s="149"/>
      <c r="J27" s="146"/>
      <c r="K27" s="147"/>
      <c r="L27" s="148"/>
      <c r="M27" s="149"/>
      <c r="N27" s="146"/>
      <c r="O27" s="147"/>
      <c r="P27" s="148"/>
      <c r="Q27" s="149"/>
    </row>
    <row r="28" spans="1:17" s="89" customFormat="1" ht="15.75" thickBot="1" x14ac:dyDescent="0.3">
      <c r="A28" s="355"/>
      <c r="B28" s="166" t="str">
        <f>PO!A28</f>
        <v>5.1</v>
      </c>
      <c r="C28" s="167" t="str">
        <f>PO!D28</f>
        <v>CONTAINERS</v>
      </c>
      <c r="D28" s="168">
        <f>PO!J28</f>
        <v>126311.166</v>
      </c>
      <c r="E28" s="169">
        <f t="shared" si="0"/>
        <v>0.34886076006210082</v>
      </c>
      <c r="F28" s="170">
        <v>10</v>
      </c>
      <c r="G28" s="171">
        <f t="shared" ref="G28" si="35">F28</f>
        <v>10</v>
      </c>
      <c r="H28" s="172"/>
      <c r="I28" s="173">
        <f t="shared" ref="I28" si="36">G28+H28</f>
        <v>10</v>
      </c>
      <c r="J28" s="170">
        <v>90</v>
      </c>
      <c r="K28" s="171">
        <f t="shared" ref="K28" si="37">I28+J28</f>
        <v>100</v>
      </c>
      <c r="L28" s="172"/>
      <c r="M28" s="173">
        <f t="shared" ref="M28" si="38">K28+L28</f>
        <v>100</v>
      </c>
      <c r="N28" s="170"/>
      <c r="O28" s="171">
        <f t="shared" ref="O28" si="39">M28+N28</f>
        <v>100</v>
      </c>
      <c r="P28" s="172"/>
      <c r="Q28" s="173">
        <f t="shared" ref="Q28" si="40">O28+P28</f>
        <v>100</v>
      </c>
    </row>
    <row r="29" spans="1:17" s="89" customFormat="1" ht="15" x14ac:dyDescent="0.25">
      <c r="A29" s="341">
        <v>6</v>
      </c>
      <c r="B29" s="142">
        <f>PO!A29</f>
        <v>6</v>
      </c>
      <c r="C29" s="143" t="str">
        <f>PO!D29</f>
        <v xml:space="preserve">DRYWALL </v>
      </c>
      <c r="D29" s="144">
        <f>PO!J29</f>
        <v>29635.513488000001</v>
      </c>
      <c r="E29" s="145">
        <f t="shared" si="0"/>
        <v>8.1850782378608725E-2</v>
      </c>
      <c r="F29" s="146"/>
      <c r="G29" s="147"/>
      <c r="H29" s="148"/>
      <c r="I29" s="149"/>
      <c r="J29" s="146"/>
      <c r="K29" s="147"/>
      <c r="L29" s="148"/>
      <c r="M29" s="149"/>
      <c r="N29" s="146"/>
      <c r="O29" s="147"/>
      <c r="P29" s="148"/>
      <c r="Q29" s="149"/>
    </row>
    <row r="30" spans="1:17" s="89" customFormat="1" ht="28.5" x14ac:dyDescent="0.25">
      <c r="A30" s="342"/>
      <c r="B30" s="150" t="str">
        <f>PO!A30</f>
        <v>6.1</v>
      </c>
      <c r="C30" s="151" t="str">
        <f>PO!D30</f>
        <v>FORRO EM DRYWALL, PARA AMBIENTES RESIDENCIAIS, INCLUSIVE ESTRUTURA DE FIXAÇÃO. AF_05/2017_P</v>
      </c>
      <c r="D30" s="152">
        <f>PO!J30</f>
        <v>9507.7443599999988</v>
      </c>
      <c r="E30" s="153">
        <f t="shared" si="0"/>
        <v>2.625958598074973E-2</v>
      </c>
      <c r="F30" s="154"/>
      <c r="G30" s="155">
        <f t="shared" ref="G30" si="41">F30</f>
        <v>0</v>
      </c>
      <c r="H30" s="156"/>
      <c r="I30" s="157">
        <f t="shared" ref="I30" si="42">G30+H30</f>
        <v>0</v>
      </c>
      <c r="J30" s="154">
        <v>30</v>
      </c>
      <c r="K30" s="155">
        <f t="shared" ref="K30" si="43">I30+J30</f>
        <v>30</v>
      </c>
      <c r="L30" s="156">
        <v>70</v>
      </c>
      <c r="M30" s="157">
        <f t="shared" ref="M30" si="44">K30+L30</f>
        <v>100</v>
      </c>
      <c r="N30" s="154"/>
      <c r="O30" s="155">
        <f t="shared" ref="O30:O105" si="45">M30+N30</f>
        <v>100</v>
      </c>
      <c r="P30" s="156"/>
      <c r="Q30" s="157">
        <f t="shared" ref="Q30:Q105" si="46">O30+P30</f>
        <v>100</v>
      </c>
    </row>
    <row r="31" spans="1:17" s="89" customFormat="1" ht="42.75" x14ac:dyDescent="0.25">
      <c r="A31" s="342"/>
      <c r="B31" s="150" t="str">
        <f>PO!A31</f>
        <v>6.2</v>
      </c>
      <c r="C31" s="151" t="str">
        <f>PO!D31</f>
        <v>PAREDE COM PLACAS DE GESSO ACARTONADO (DRYWALL), PARA USO INTERNO, COM DUAS FACES SIMPLES E ESTRUTURA METÁLICA COM GUIAS SIMPLES, COM VÃOS AF_06/2017_P</v>
      </c>
      <c r="D31" s="152">
        <f>PO!J31</f>
        <v>7813.7171280000002</v>
      </c>
      <c r="E31" s="153">
        <f t="shared" si="0"/>
        <v>2.158082600697658E-2</v>
      </c>
      <c r="F31" s="154"/>
      <c r="G31" s="155">
        <f t="shared" ref="G31:G34" si="47">F31</f>
        <v>0</v>
      </c>
      <c r="H31" s="156"/>
      <c r="I31" s="157">
        <f t="shared" ref="I31:I34" si="48">G31+H31</f>
        <v>0</v>
      </c>
      <c r="J31" s="154">
        <v>30</v>
      </c>
      <c r="K31" s="155">
        <f t="shared" ref="K31:K34" si="49">I31+J31</f>
        <v>30</v>
      </c>
      <c r="L31" s="156">
        <v>70</v>
      </c>
      <c r="M31" s="157">
        <f t="shared" ref="M31:M34" si="50">K31+L31</f>
        <v>100</v>
      </c>
      <c r="N31" s="154"/>
      <c r="O31" s="155">
        <f t="shared" ref="O31:O34" si="51">M31+N31</f>
        <v>100</v>
      </c>
      <c r="P31" s="156"/>
      <c r="Q31" s="157">
        <f t="shared" ref="Q31:Q34" si="52">O31+P31</f>
        <v>100</v>
      </c>
    </row>
    <row r="32" spans="1:17" s="89" customFormat="1" ht="43.5" thickBot="1" x14ac:dyDescent="0.3">
      <c r="A32" s="343"/>
      <c r="B32" s="166" t="str">
        <f>PO!A32</f>
        <v>6.3</v>
      </c>
      <c r="C32" s="167" t="str">
        <f>PO!D32</f>
        <v>PAREDE COM PLACAS DE GESSO ACARTONADO (DRYWALL), PARA USO INTERNO, COM UMA FACE SIMPLES E ESTRUTURA METÁLICA COM GUIAS SIMPLES, COM VÃOS. AF_06/2017_P</v>
      </c>
      <c r="D32" s="168">
        <f>PO!J32</f>
        <v>12314.052</v>
      </c>
      <c r="E32" s="169">
        <f t="shared" si="0"/>
        <v>3.4010370390882408E-2</v>
      </c>
      <c r="F32" s="170"/>
      <c r="G32" s="171">
        <f t="shared" si="47"/>
        <v>0</v>
      </c>
      <c r="H32" s="172"/>
      <c r="I32" s="173">
        <f t="shared" si="48"/>
        <v>0</v>
      </c>
      <c r="J32" s="170">
        <v>30</v>
      </c>
      <c r="K32" s="171">
        <f t="shared" si="49"/>
        <v>30</v>
      </c>
      <c r="L32" s="172">
        <v>70</v>
      </c>
      <c r="M32" s="173">
        <f t="shared" si="50"/>
        <v>100</v>
      </c>
      <c r="N32" s="170"/>
      <c r="O32" s="171">
        <f t="shared" si="51"/>
        <v>100</v>
      </c>
      <c r="P32" s="172"/>
      <c r="Q32" s="173">
        <f t="shared" si="52"/>
        <v>100</v>
      </c>
    </row>
    <row r="33" spans="1:17" s="89" customFormat="1" ht="15" x14ac:dyDescent="0.25">
      <c r="A33" s="341">
        <v>7</v>
      </c>
      <c r="B33" s="142">
        <f>PO!A33</f>
        <v>7</v>
      </c>
      <c r="C33" s="143" t="str">
        <f>PO!D33</f>
        <v>SISTEMA HIDROSSANITÁRIO E IMPERMEABILIZAÇÕES</v>
      </c>
      <c r="D33" s="144">
        <f>PO!J33</f>
        <v>34122.768015600006</v>
      </c>
      <c r="E33" s="145">
        <f t="shared" si="0"/>
        <v>9.4244199957309885E-2</v>
      </c>
      <c r="F33" s="146"/>
      <c r="G33" s="147"/>
      <c r="H33" s="148"/>
      <c r="I33" s="149"/>
      <c r="J33" s="146"/>
      <c r="K33" s="147"/>
      <c r="L33" s="148"/>
      <c r="M33" s="149"/>
      <c r="N33" s="146"/>
      <c r="O33" s="147"/>
      <c r="P33" s="148"/>
      <c r="Q33" s="149"/>
    </row>
    <row r="34" spans="1:17" s="89" customFormat="1" ht="42.75" x14ac:dyDescent="0.25">
      <c r="A34" s="342"/>
      <c r="B34" s="150" t="str">
        <f>PO!A34</f>
        <v>7.1</v>
      </c>
      <c r="C34" s="151" t="str">
        <f>PO!D34</f>
        <v>TANQUE SÉPTICO RETANGULAR, EM ALVENARIA COM TIJOLOS CERÂMICOS MACIÇOS, DIMENSÕES INTERNAS: 1,2 X 2,4 X 1,6 M, VOLUME ÚTIL: 3456 L (PARA 13 CONTRIBUINTES). AF_05/2018</v>
      </c>
      <c r="D34" s="152">
        <f>PO!J34</f>
        <v>6459.273072</v>
      </c>
      <c r="E34" s="153">
        <f t="shared" si="0"/>
        <v>1.7839966051351162E-2</v>
      </c>
      <c r="F34" s="154"/>
      <c r="G34" s="155">
        <f t="shared" si="47"/>
        <v>0</v>
      </c>
      <c r="H34" s="156"/>
      <c r="I34" s="157">
        <f t="shared" si="48"/>
        <v>0</v>
      </c>
      <c r="J34" s="154">
        <v>50</v>
      </c>
      <c r="K34" s="155">
        <f t="shared" si="49"/>
        <v>50</v>
      </c>
      <c r="L34" s="156">
        <v>50</v>
      </c>
      <c r="M34" s="157">
        <f t="shared" si="50"/>
        <v>100</v>
      </c>
      <c r="N34" s="154"/>
      <c r="O34" s="155">
        <f t="shared" si="51"/>
        <v>100</v>
      </c>
      <c r="P34" s="156"/>
      <c r="Q34" s="157">
        <f t="shared" si="52"/>
        <v>100</v>
      </c>
    </row>
    <row r="35" spans="1:17" s="89" customFormat="1" ht="42.75" x14ac:dyDescent="0.25">
      <c r="A35" s="342"/>
      <c r="B35" s="150" t="str">
        <f>PO!A35</f>
        <v>7.2</v>
      </c>
      <c r="C35" s="151" t="str">
        <f>PO!D35</f>
        <v>FILTRO ANAERÓBIO RETANGULAR, EM ALVENARIA COM TIJOLOS CERÂMICOS MACIÇOS, DIMENSÕES INTERNAS: 1,2 X 1,8 X 1,67 M, VOLUME ÚTIL: 2592 L (PARA 13 CONTRIBUINTES). AF_05/2018</v>
      </c>
      <c r="D35" s="152">
        <f>PO!J35</f>
        <v>6308.7595199999996</v>
      </c>
      <c r="E35" s="153">
        <f t="shared" si="0"/>
        <v>1.7424260347626071E-2</v>
      </c>
      <c r="F35" s="154"/>
      <c r="G35" s="155">
        <f t="shared" ref="G35:G36" si="53">F35</f>
        <v>0</v>
      </c>
      <c r="H35" s="156"/>
      <c r="I35" s="157">
        <f t="shared" ref="I35:I36" si="54">G35+H35</f>
        <v>0</v>
      </c>
      <c r="J35" s="154">
        <v>50</v>
      </c>
      <c r="K35" s="155">
        <f t="shared" ref="K35:K36" si="55">I35+J35</f>
        <v>50</v>
      </c>
      <c r="L35" s="156">
        <v>50</v>
      </c>
      <c r="M35" s="157">
        <f t="shared" ref="M35:M36" si="56">K35+L35</f>
        <v>100</v>
      </c>
      <c r="N35" s="154"/>
      <c r="O35" s="155">
        <f t="shared" ref="O35:O36" si="57">M35+N35</f>
        <v>100</v>
      </c>
      <c r="P35" s="156"/>
      <c r="Q35" s="157">
        <f t="shared" ref="Q35:Q36" si="58">O35+P35</f>
        <v>100</v>
      </c>
    </row>
    <row r="36" spans="1:17" s="89" customFormat="1" ht="42.75" x14ac:dyDescent="0.25">
      <c r="A36" s="342"/>
      <c r="B36" s="150" t="str">
        <f>PO!A36</f>
        <v>7.3</v>
      </c>
      <c r="C36" s="151" t="str">
        <f>PO!D36</f>
        <v>SUMIDOURO RETANGULAR, EM ALVENARIA COM TIJOLOS CERÂMICOS MACIÇOS, DIMENSÕES INTERNAS: 1,6 X 3,4 X 3,0 M, ÁREA DE INFILTRAÇÃO: 32,9 M² (PARA 13 CONTRIBUINTES). AF_05/2018</v>
      </c>
      <c r="D36" s="152">
        <f>PO!J36</f>
        <v>9236.4539760000007</v>
      </c>
      <c r="E36" s="153">
        <f t="shared" si="0"/>
        <v>2.5510304879506642E-2</v>
      </c>
      <c r="F36" s="154"/>
      <c r="G36" s="155">
        <f t="shared" si="53"/>
        <v>0</v>
      </c>
      <c r="H36" s="156"/>
      <c r="I36" s="157">
        <f t="shared" si="54"/>
        <v>0</v>
      </c>
      <c r="J36" s="154">
        <v>50</v>
      </c>
      <c r="K36" s="155">
        <f t="shared" si="55"/>
        <v>50</v>
      </c>
      <c r="L36" s="156">
        <v>50</v>
      </c>
      <c r="M36" s="157">
        <f t="shared" si="56"/>
        <v>100</v>
      </c>
      <c r="N36" s="154"/>
      <c r="O36" s="155">
        <f t="shared" si="57"/>
        <v>100</v>
      </c>
      <c r="P36" s="156"/>
      <c r="Q36" s="157">
        <f t="shared" si="58"/>
        <v>100</v>
      </c>
    </row>
    <row r="37" spans="1:17" s="89" customFormat="1" ht="42.75" x14ac:dyDescent="0.25">
      <c r="A37" s="342"/>
      <c r="B37" s="150" t="str">
        <f>PO!A37</f>
        <v>7.4</v>
      </c>
      <c r="C37" s="151" t="str">
        <f>PO!D37</f>
        <v>CAIXA DE GORDURA DUPLA (CAPACIDADE: 126 L), RETANGULAR, EM ALVENARIA COM TIJOLOS CERÂMICOS MACIÇOS, DIMENSÕES INTERNAS = 0,4X0,7 M, ALTURA INTERNA = 0,8 M. AF_05/2018</v>
      </c>
      <c r="D37" s="152">
        <f>PO!J37</f>
        <v>671.12218799999994</v>
      </c>
      <c r="E37" s="153">
        <f t="shared" si="0"/>
        <v>1.8535827355138192E-3</v>
      </c>
      <c r="F37" s="154"/>
      <c r="G37" s="155">
        <f t="shared" ref="G37:G66" si="59">F37</f>
        <v>0</v>
      </c>
      <c r="H37" s="156"/>
      <c r="I37" s="157">
        <f t="shared" ref="I37:I66" si="60">G37+H37</f>
        <v>0</v>
      </c>
      <c r="J37" s="154">
        <v>50</v>
      </c>
      <c r="K37" s="155">
        <f t="shared" ref="K37:K66" si="61">I37+J37</f>
        <v>50</v>
      </c>
      <c r="L37" s="154">
        <v>50</v>
      </c>
      <c r="M37" s="157">
        <f t="shared" ref="M37:M66" si="62">K37+L37</f>
        <v>100</v>
      </c>
      <c r="N37" s="154"/>
      <c r="O37" s="155">
        <f t="shared" ref="O37:O66" si="63">M37+N37</f>
        <v>100</v>
      </c>
      <c r="P37" s="156"/>
      <c r="Q37" s="157">
        <f t="shared" ref="Q37:Q66" si="64">O37+P37</f>
        <v>100</v>
      </c>
    </row>
    <row r="38" spans="1:17" s="89" customFormat="1" ht="28.5" x14ac:dyDescent="0.25">
      <c r="A38" s="342"/>
      <c r="B38" s="150" t="str">
        <f>PO!A38</f>
        <v>7.5</v>
      </c>
      <c r="C38" s="151" t="str">
        <f>PO!D38</f>
        <v>CAIXA SIFONADA, PVC, DN 100 X 100 X 50 MM, FORNECIDA E INSTALADA EM RAMAIS DE ENCAMINHAMENTO DE ÁGUA PLUVIAL. AF_12/2014</v>
      </c>
      <c r="D38" s="152">
        <f>PO!J38</f>
        <v>158.51959199999999</v>
      </c>
      <c r="E38" s="153">
        <f t="shared" si="0"/>
        <v>4.3781770924238098E-4</v>
      </c>
      <c r="F38" s="154"/>
      <c r="G38" s="155">
        <f t="shared" si="59"/>
        <v>0</v>
      </c>
      <c r="H38" s="156"/>
      <c r="I38" s="157">
        <f t="shared" si="60"/>
        <v>0</v>
      </c>
      <c r="J38" s="154">
        <v>50</v>
      </c>
      <c r="K38" s="155">
        <f t="shared" si="61"/>
        <v>50</v>
      </c>
      <c r="L38" s="154">
        <v>50</v>
      </c>
      <c r="M38" s="157">
        <f t="shared" si="62"/>
        <v>100</v>
      </c>
      <c r="N38" s="154"/>
      <c r="O38" s="155">
        <f t="shared" si="63"/>
        <v>100</v>
      </c>
      <c r="P38" s="156"/>
      <c r="Q38" s="157">
        <f t="shared" si="64"/>
        <v>100</v>
      </c>
    </row>
    <row r="39" spans="1:17" s="89" customFormat="1" ht="28.5" x14ac:dyDescent="0.25">
      <c r="A39" s="342"/>
      <c r="B39" s="150" t="str">
        <f>PO!A39</f>
        <v>7.6</v>
      </c>
      <c r="C39" s="151" t="str">
        <f>PO!D39</f>
        <v>CAIXA DE INSPEÇÃO EM CONCRETO PRÉ-MOLDADO DN 60CM COM TAMPA H= 60CM - FORNECIMENTO E INSTALACAO</v>
      </c>
      <c r="D39" s="152">
        <f>PO!J39</f>
        <v>505.11758400000002</v>
      </c>
      <c r="E39" s="153">
        <f t="shared" si="0"/>
        <v>1.3950920560338433E-3</v>
      </c>
      <c r="F39" s="154"/>
      <c r="G39" s="155">
        <f t="shared" si="59"/>
        <v>0</v>
      </c>
      <c r="H39" s="156"/>
      <c r="I39" s="157">
        <f t="shared" si="60"/>
        <v>0</v>
      </c>
      <c r="J39" s="154">
        <v>50</v>
      </c>
      <c r="K39" s="155">
        <f t="shared" si="61"/>
        <v>50</v>
      </c>
      <c r="L39" s="154">
        <v>50</v>
      </c>
      <c r="M39" s="157">
        <f t="shared" si="62"/>
        <v>100</v>
      </c>
      <c r="N39" s="154"/>
      <c r="O39" s="155">
        <f t="shared" si="63"/>
        <v>100</v>
      </c>
      <c r="P39" s="156"/>
      <c r="Q39" s="157">
        <f t="shared" si="64"/>
        <v>100</v>
      </c>
    </row>
    <row r="40" spans="1:17" s="89" customFormat="1" ht="15" x14ac:dyDescent="0.25">
      <c r="A40" s="342"/>
      <c r="B40" s="150" t="str">
        <f>PO!A40</f>
        <v>7.7</v>
      </c>
      <c r="C40" s="151" t="str">
        <f>PO!D40</f>
        <v xml:space="preserve">CAIXA DE AREIA 40X40X40CM EM ALVENARIA - EXECUÇÃO </v>
      </c>
      <c r="D40" s="152">
        <f>PO!J40</f>
        <v>108.11966399999999</v>
      </c>
      <c r="E40" s="153">
        <f t="shared" si="0"/>
        <v>2.9861736974780962E-4</v>
      </c>
      <c r="F40" s="154"/>
      <c r="G40" s="155">
        <f t="shared" si="59"/>
        <v>0</v>
      </c>
      <c r="H40" s="156"/>
      <c r="I40" s="157">
        <f t="shared" si="60"/>
        <v>0</v>
      </c>
      <c r="J40" s="154">
        <v>50</v>
      </c>
      <c r="K40" s="155">
        <f t="shared" si="61"/>
        <v>50</v>
      </c>
      <c r="L40" s="154">
        <v>50</v>
      </c>
      <c r="M40" s="157">
        <f t="shared" si="62"/>
        <v>100</v>
      </c>
      <c r="N40" s="154"/>
      <c r="O40" s="155">
        <f t="shared" si="63"/>
        <v>100</v>
      </c>
      <c r="P40" s="156"/>
      <c r="Q40" s="157">
        <f t="shared" si="64"/>
        <v>100</v>
      </c>
    </row>
    <row r="41" spans="1:17" s="89" customFormat="1" ht="28.5" x14ac:dyDescent="0.25">
      <c r="A41" s="342"/>
      <c r="B41" s="150" t="str">
        <f>PO!A41</f>
        <v>7.8</v>
      </c>
      <c r="C41" s="151" t="str">
        <f>PO!D41</f>
        <v>TORNEIRA DE BÓIA REAL, ROSCÁVEL, 1/2", FORNECIDA E INSTALADA EM RESERVAÇÃO DE ÁGUA. AF_06/2016</v>
      </c>
      <c r="D41" s="152">
        <f>PO!J41</f>
        <v>43.740935999999998</v>
      </c>
      <c r="E41" s="153">
        <f t="shared" si="0"/>
        <v>1.2080876665161739E-4</v>
      </c>
      <c r="F41" s="154"/>
      <c r="G41" s="155">
        <f t="shared" si="59"/>
        <v>0</v>
      </c>
      <c r="H41" s="156"/>
      <c r="I41" s="157">
        <f t="shared" si="60"/>
        <v>0</v>
      </c>
      <c r="J41" s="154">
        <v>50</v>
      </c>
      <c r="K41" s="155">
        <f t="shared" si="61"/>
        <v>50</v>
      </c>
      <c r="L41" s="154">
        <v>50</v>
      </c>
      <c r="M41" s="157">
        <f t="shared" si="62"/>
        <v>100</v>
      </c>
      <c r="N41" s="154"/>
      <c r="O41" s="155">
        <f t="shared" si="63"/>
        <v>100</v>
      </c>
      <c r="P41" s="156"/>
      <c r="Q41" s="157">
        <f t="shared" si="64"/>
        <v>100</v>
      </c>
    </row>
    <row r="42" spans="1:17" s="89" customFormat="1" ht="42.75" x14ac:dyDescent="0.25">
      <c r="A42" s="342"/>
      <c r="B42" s="150" t="str">
        <f>PO!A42</f>
        <v>7.9</v>
      </c>
      <c r="C42" s="151" t="str">
        <f>PO!D42</f>
        <v>KIT DE REGISTRO DE PRESSÃO BRUTO DE LATÃO ½", INCLUSIVE CONEXÕES, ROSCÁVEL, INSTALADO EM RAMAL DE ÁGUA FRIA - FORNECIMENTO E INSTALAÇÃO. AF_12/2014</v>
      </c>
      <c r="D42" s="152">
        <f>PO!J42</f>
        <v>656.44444799999997</v>
      </c>
      <c r="E42" s="153">
        <f t="shared" ref="E42:E73" si="65">D42/$D$135</f>
        <v>1.8130440587321172E-3</v>
      </c>
      <c r="F42" s="154"/>
      <c r="G42" s="155">
        <f t="shared" si="59"/>
        <v>0</v>
      </c>
      <c r="H42" s="156"/>
      <c r="I42" s="157">
        <f t="shared" si="60"/>
        <v>0</v>
      </c>
      <c r="J42" s="154">
        <v>50</v>
      </c>
      <c r="K42" s="155">
        <f t="shared" si="61"/>
        <v>50</v>
      </c>
      <c r="L42" s="154">
        <v>50</v>
      </c>
      <c r="M42" s="157">
        <f t="shared" si="62"/>
        <v>100</v>
      </c>
      <c r="N42" s="154"/>
      <c r="O42" s="155">
        <f t="shared" si="63"/>
        <v>100</v>
      </c>
      <c r="P42" s="156"/>
      <c r="Q42" s="157">
        <f t="shared" si="64"/>
        <v>100</v>
      </c>
    </row>
    <row r="43" spans="1:17" s="89" customFormat="1" ht="28.5" x14ac:dyDescent="0.25">
      <c r="A43" s="342"/>
      <c r="B43" s="150" t="str">
        <f>PO!A43</f>
        <v>7.10</v>
      </c>
      <c r="C43" s="151" t="str">
        <f>PO!D43</f>
        <v>REGISTRO DE GAVETA BRUTO, LATÃO, ROSCÁVEL, 1/2", FORNECIDO E INSTALADO EM RAMAL DE ÁGUA. AF_12/2014</v>
      </c>
      <c r="D43" s="152">
        <f>PO!J43</f>
        <v>139.02552</v>
      </c>
      <c r="E43" s="153">
        <f t="shared" si="65"/>
        <v>3.8397673072884783E-4</v>
      </c>
      <c r="F43" s="154"/>
      <c r="G43" s="155">
        <f t="shared" si="59"/>
        <v>0</v>
      </c>
      <c r="H43" s="156"/>
      <c r="I43" s="157">
        <f t="shared" si="60"/>
        <v>0</v>
      </c>
      <c r="J43" s="154">
        <v>50</v>
      </c>
      <c r="K43" s="155">
        <f t="shared" si="61"/>
        <v>50</v>
      </c>
      <c r="L43" s="154">
        <v>50</v>
      </c>
      <c r="M43" s="157">
        <f t="shared" si="62"/>
        <v>100</v>
      </c>
      <c r="N43" s="154"/>
      <c r="O43" s="155">
        <f t="shared" si="63"/>
        <v>100</v>
      </c>
      <c r="P43" s="156"/>
      <c r="Q43" s="157">
        <f t="shared" si="64"/>
        <v>100</v>
      </c>
    </row>
    <row r="44" spans="1:17" s="89" customFormat="1" ht="42.75" x14ac:dyDescent="0.25">
      <c r="A44" s="342"/>
      <c r="B44" s="150" t="str">
        <f>PO!A44</f>
        <v>7.11</v>
      </c>
      <c r="C44" s="151" t="str">
        <f>PO!D44</f>
        <v>REGISTRO DE ESFERA, PVC, SOLDÁVEL, DN 50 MM, INSTALADO EM RESERVAÇÃO DE ÁGUA DE EDIFICAÇÃO QUE POSSUA RESERVATÓRIO DE FIBRA/FIBROCIMENTO FORNECIMENTO E INSTALAÇÃO. AF_06/2016</v>
      </c>
      <c r="D44" s="152">
        <f>PO!J44</f>
        <v>38.937311999999999</v>
      </c>
      <c r="E44" s="153">
        <f t="shared" si="65"/>
        <v>1.075415633412422E-4</v>
      </c>
      <c r="F44" s="154"/>
      <c r="G44" s="155">
        <f t="shared" si="59"/>
        <v>0</v>
      </c>
      <c r="H44" s="156"/>
      <c r="I44" s="157">
        <f t="shared" si="60"/>
        <v>0</v>
      </c>
      <c r="J44" s="154">
        <v>50</v>
      </c>
      <c r="K44" s="155">
        <f t="shared" si="61"/>
        <v>50</v>
      </c>
      <c r="L44" s="154">
        <v>50</v>
      </c>
      <c r="M44" s="157">
        <f t="shared" si="62"/>
        <v>100</v>
      </c>
      <c r="N44" s="154"/>
      <c r="O44" s="155">
        <f t="shared" si="63"/>
        <v>100</v>
      </c>
      <c r="P44" s="156"/>
      <c r="Q44" s="157">
        <f t="shared" si="64"/>
        <v>100</v>
      </c>
    </row>
    <row r="45" spans="1:17" s="89" customFormat="1" ht="28.5" x14ac:dyDescent="0.25">
      <c r="A45" s="342"/>
      <c r="B45" s="150" t="str">
        <f>PO!A45</f>
        <v>7.12</v>
      </c>
      <c r="C45" s="151" t="str">
        <f>PO!D45</f>
        <v>JOELHO 90 GRAUS, PVC, SOLDÁVEL, DN 25MM, INSTALADO EM RAMAL DE DISTRIBUIÇÃO DE ÁGUA - FORNECIMENTO E INSTALAÇÃO. AF_12/2014</v>
      </c>
      <c r="D45" s="152">
        <f>PO!J45</f>
        <v>253.52459999999999</v>
      </c>
      <c r="E45" s="153">
        <f t="shared" si="65"/>
        <v>7.0021350804757904E-4</v>
      </c>
      <c r="F45" s="154"/>
      <c r="G45" s="155">
        <f t="shared" si="59"/>
        <v>0</v>
      </c>
      <c r="H45" s="156"/>
      <c r="I45" s="157">
        <f t="shared" si="60"/>
        <v>0</v>
      </c>
      <c r="J45" s="154">
        <v>50</v>
      </c>
      <c r="K45" s="155">
        <f t="shared" si="61"/>
        <v>50</v>
      </c>
      <c r="L45" s="154">
        <v>50</v>
      </c>
      <c r="M45" s="157">
        <f t="shared" si="62"/>
        <v>100</v>
      </c>
      <c r="N45" s="154"/>
      <c r="O45" s="155">
        <f t="shared" si="63"/>
        <v>100</v>
      </c>
      <c r="P45" s="156"/>
      <c r="Q45" s="157">
        <f t="shared" si="64"/>
        <v>100</v>
      </c>
    </row>
    <row r="46" spans="1:17" s="89" customFormat="1" ht="28.5" x14ac:dyDescent="0.25">
      <c r="A46" s="342"/>
      <c r="B46" s="150" t="str">
        <f>PO!A46</f>
        <v>7.13</v>
      </c>
      <c r="C46" s="151" t="str">
        <f>PO!D46</f>
        <v>JOELHO 45 GRAUS, PVC, SOLDÁVEL, DN 25MM, INSTALADO EM RAMAL DE DISTRIBUIÇÃO DE ÁGUA - FORNECIMENTO E INSTALAÇÃO. AF_12/2014</v>
      </c>
      <c r="D46" s="152">
        <f>PO!J46</f>
        <v>19.900728000000001</v>
      </c>
      <c r="E46" s="153">
        <f t="shared" si="65"/>
        <v>5.4964128000125755E-5</v>
      </c>
      <c r="F46" s="154"/>
      <c r="G46" s="155">
        <f t="shared" si="59"/>
        <v>0</v>
      </c>
      <c r="H46" s="156"/>
      <c r="I46" s="157">
        <f t="shared" si="60"/>
        <v>0</v>
      </c>
      <c r="J46" s="154">
        <v>50</v>
      </c>
      <c r="K46" s="155">
        <f t="shared" si="61"/>
        <v>50</v>
      </c>
      <c r="L46" s="154">
        <v>50</v>
      </c>
      <c r="M46" s="157">
        <f t="shared" si="62"/>
        <v>100</v>
      </c>
      <c r="N46" s="154"/>
      <c r="O46" s="155">
        <f t="shared" si="63"/>
        <v>100</v>
      </c>
      <c r="P46" s="156"/>
      <c r="Q46" s="157">
        <f t="shared" si="64"/>
        <v>100</v>
      </c>
    </row>
    <row r="47" spans="1:17" s="89" customFormat="1" ht="42.75" x14ac:dyDescent="0.25">
      <c r="A47" s="342"/>
      <c r="B47" s="150" t="str">
        <f>PO!A47</f>
        <v>7.14</v>
      </c>
      <c r="C47" s="151" t="str">
        <f>PO!D47</f>
        <v>JOELHO 90 GRAUS, PVC, SOLDÁVEL, DN 40 MM INSTALADO EM RESERVAÇÃO DE ÁGUA DE EDIFICAÇÃO QUE POSSUA RESERVATÓRIO DE FIBRA/FIBROCIMENTO FORNECIMENTO E INSTALAÇÃO. AF_06/2016</v>
      </c>
      <c r="D47" s="152">
        <f>PO!J47</f>
        <v>75.6126</v>
      </c>
      <c r="E47" s="153">
        <f t="shared" si="65"/>
        <v>2.0883560766331305E-4</v>
      </c>
      <c r="F47" s="154"/>
      <c r="G47" s="155">
        <f t="shared" si="59"/>
        <v>0</v>
      </c>
      <c r="H47" s="156"/>
      <c r="I47" s="157">
        <f t="shared" si="60"/>
        <v>0</v>
      </c>
      <c r="J47" s="154">
        <v>50</v>
      </c>
      <c r="K47" s="155">
        <f t="shared" si="61"/>
        <v>50</v>
      </c>
      <c r="L47" s="154">
        <v>50</v>
      </c>
      <c r="M47" s="157">
        <f t="shared" si="62"/>
        <v>100</v>
      </c>
      <c r="N47" s="154"/>
      <c r="O47" s="155">
        <f t="shared" si="63"/>
        <v>100</v>
      </c>
      <c r="P47" s="156"/>
      <c r="Q47" s="157">
        <f t="shared" si="64"/>
        <v>100</v>
      </c>
    </row>
    <row r="48" spans="1:17" s="89" customFormat="1" ht="42.75" x14ac:dyDescent="0.25">
      <c r="A48" s="342"/>
      <c r="B48" s="150" t="str">
        <f>PO!A48</f>
        <v>7.15</v>
      </c>
      <c r="C48" s="151" t="str">
        <f>PO!D48</f>
        <v>JOELHO 90 GRAUS, PVC, SOLDÁVEL, DN 50 MM INSTALADO EM RESERVAÇÃO DE ÁGUA DE EDIFICAÇÃO QUE POSSUA RESERVATÓRIO DE FIBRA/FIBROCIMENTO FORNECIMENTO E INSTALAÇÃO. AF_06/2016</v>
      </c>
      <c r="D48" s="152">
        <f>PO!J48</f>
        <v>30.905856</v>
      </c>
      <c r="E48" s="153">
        <f t="shared" si="65"/>
        <v>8.53593609810382E-5</v>
      </c>
      <c r="F48" s="154"/>
      <c r="G48" s="155">
        <f t="shared" si="59"/>
        <v>0</v>
      </c>
      <c r="H48" s="156"/>
      <c r="I48" s="157">
        <f t="shared" si="60"/>
        <v>0</v>
      </c>
      <c r="J48" s="154">
        <v>50</v>
      </c>
      <c r="K48" s="155">
        <f t="shared" si="61"/>
        <v>50</v>
      </c>
      <c r="L48" s="154">
        <v>50</v>
      </c>
      <c r="M48" s="157">
        <f t="shared" si="62"/>
        <v>100</v>
      </c>
      <c r="N48" s="154"/>
      <c r="O48" s="155">
        <f t="shared" si="63"/>
        <v>100</v>
      </c>
      <c r="P48" s="156"/>
      <c r="Q48" s="157">
        <f t="shared" si="64"/>
        <v>100</v>
      </c>
    </row>
    <row r="49" spans="1:17" s="89" customFormat="1" ht="28.5" x14ac:dyDescent="0.25">
      <c r="A49" s="342"/>
      <c r="B49" s="150" t="str">
        <f>PO!A49</f>
        <v>7.16</v>
      </c>
      <c r="C49" s="151" t="str">
        <f>PO!D49</f>
        <v>TÊ DE REDUÇÃO, PVC, SOLDÁVEL, DN 50MM X 25MM, INSTALADO EM PRUMADA DE ÁGUA - FORNECIMENTO E INSTALAÇÃO. AF_12/2014</v>
      </c>
      <c r="D49" s="152">
        <f>PO!J49</f>
        <v>71.063136</v>
      </c>
      <c r="E49" s="153">
        <f t="shared" si="65"/>
        <v>1.9627037278205825E-4</v>
      </c>
      <c r="F49" s="154"/>
      <c r="G49" s="155">
        <f t="shared" si="59"/>
        <v>0</v>
      </c>
      <c r="H49" s="156"/>
      <c r="I49" s="157">
        <f t="shared" si="60"/>
        <v>0</v>
      </c>
      <c r="J49" s="154">
        <v>50</v>
      </c>
      <c r="K49" s="155">
        <f t="shared" si="61"/>
        <v>50</v>
      </c>
      <c r="L49" s="154">
        <v>50</v>
      </c>
      <c r="M49" s="157">
        <f t="shared" si="62"/>
        <v>100</v>
      </c>
      <c r="N49" s="154"/>
      <c r="O49" s="155">
        <f t="shared" si="63"/>
        <v>100</v>
      </c>
      <c r="P49" s="156"/>
      <c r="Q49" s="157">
        <f t="shared" si="64"/>
        <v>100</v>
      </c>
    </row>
    <row r="50" spans="1:17" s="89" customFormat="1" ht="28.5" x14ac:dyDescent="0.25">
      <c r="A50" s="342"/>
      <c r="B50" s="150" t="str">
        <f>PO!A50</f>
        <v>7.17</v>
      </c>
      <c r="C50" s="151" t="str">
        <f>PO!D50</f>
        <v>TE, PVC, SOLDÁVEL, DN 50MM, INSTALADO EM PRUMADA DE ÁGUA - FORNECIMENTO E INSTALAÇÃO. AF_12/2014</v>
      </c>
      <c r="D50" s="152">
        <f>PO!J50</f>
        <v>56.042279999999998</v>
      </c>
      <c r="E50" s="153">
        <f t="shared" si="65"/>
        <v>1.5478403862104377E-4</v>
      </c>
      <c r="F50" s="154"/>
      <c r="G50" s="155">
        <f t="shared" si="59"/>
        <v>0</v>
      </c>
      <c r="H50" s="156"/>
      <c r="I50" s="157">
        <f t="shared" si="60"/>
        <v>0</v>
      </c>
      <c r="J50" s="154">
        <v>50</v>
      </c>
      <c r="K50" s="155">
        <f t="shared" si="61"/>
        <v>50</v>
      </c>
      <c r="L50" s="154">
        <v>50</v>
      </c>
      <c r="M50" s="157">
        <f t="shared" si="62"/>
        <v>100</v>
      </c>
      <c r="N50" s="154"/>
      <c r="O50" s="155">
        <f t="shared" si="63"/>
        <v>100</v>
      </c>
      <c r="P50" s="156"/>
      <c r="Q50" s="157">
        <f t="shared" si="64"/>
        <v>100</v>
      </c>
    </row>
    <row r="51" spans="1:17" s="89" customFormat="1" ht="28.5" x14ac:dyDescent="0.25">
      <c r="A51" s="342"/>
      <c r="B51" s="150" t="str">
        <f>PO!A51</f>
        <v>7.18</v>
      </c>
      <c r="C51" s="151" t="str">
        <f>PO!D51</f>
        <v>TE, PVC, SOLDÁVEL, DN 40MM, INSTALADO EM PRUMADA DE ÁGUA - FORNECIMENTO E INSTALAÇÃO. AF_12/2014</v>
      </c>
      <c r="D51" s="152">
        <f>PO!J51</f>
        <v>61.710048</v>
      </c>
      <c r="E51" s="153">
        <f t="shared" si="65"/>
        <v>1.7043793459042825E-4</v>
      </c>
      <c r="F51" s="154"/>
      <c r="G51" s="155">
        <f t="shared" si="59"/>
        <v>0</v>
      </c>
      <c r="H51" s="156"/>
      <c r="I51" s="157">
        <f t="shared" si="60"/>
        <v>0</v>
      </c>
      <c r="J51" s="154">
        <v>50</v>
      </c>
      <c r="K51" s="155">
        <f t="shared" si="61"/>
        <v>50</v>
      </c>
      <c r="L51" s="154">
        <v>50</v>
      </c>
      <c r="M51" s="157">
        <f t="shared" si="62"/>
        <v>100</v>
      </c>
      <c r="N51" s="154"/>
      <c r="O51" s="155">
        <f t="shared" si="63"/>
        <v>100</v>
      </c>
      <c r="P51" s="156"/>
      <c r="Q51" s="157">
        <f t="shared" si="64"/>
        <v>100</v>
      </c>
    </row>
    <row r="52" spans="1:17" s="89" customFormat="1" ht="28.5" x14ac:dyDescent="0.25">
      <c r="A52" s="342"/>
      <c r="B52" s="150" t="str">
        <f>PO!A52</f>
        <v>7.19</v>
      </c>
      <c r="C52" s="151" t="str">
        <f>PO!D52</f>
        <v>TE, PVC, SOLDÁVEL, DN 25MM, INSTALADO EM RAMAL OU SUB-RAMAL DE ÁGUA - FORNECIMENTO E INSTALAÇÃO. AF_12/2014</v>
      </c>
      <c r="D52" s="152">
        <f>PO!J52</f>
        <v>201.49804799999998</v>
      </c>
      <c r="E52" s="153">
        <f t="shared" si="65"/>
        <v>5.5652057060663715E-4</v>
      </c>
      <c r="F52" s="154"/>
      <c r="G52" s="155">
        <f t="shared" si="59"/>
        <v>0</v>
      </c>
      <c r="H52" s="156"/>
      <c r="I52" s="157">
        <f t="shared" si="60"/>
        <v>0</v>
      </c>
      <c r="J52" s="154">
        <v>50</v>
      </c>
      <c r="K52" s="155">
        <f t="shared" si="61"/>
        <v>50</v>
      </c>
      <c r="L52" s="154">
        <v>50</v>
      </c>
      <c r="M52" s="157">
        <f t="shared" si="62"/>
        <v>100</v>
      </c>
      <c r="N52" s="154"/>
      <c r="O52" s="155">
        <f t="shared" si="63"/>
        <v>100</v>
      </c>
      <c r="P52" s="156"/>
      <c r="Q52" s="157">
        <f t="shared" si="64"/>
        <v>100</v>
      </c>
    </row>
    <row r="53" spans="1:17" s="89" customFormat="1" ht="42.75" x14ac:dyDescent="0.25">
      <c r="A53" s="342"/>
      <c r="B53" s="150" t="str">
        <f>PO!A53</f>
        <v>7.20</v>
      </c>
      <c r="C53" s="151" t="str">
        <f>PO!D53</f>
        <v>TÊ, PVC, SOLDÁVEL, DN 40 MM INSTALADO EM RESERVAÇÃO DE ÁGUA DE EDIFICAÇÃO QUE POSSUA RESERVATÓRIO DE FIBRA/FIBROCIMENTO FORNECIMENTO E INSTALAÇÃO. AF_06/2016</v>
      </c>
      <c r="D53" s="152">
        <f>PO!J53</f>
        <v>22.213584000000001</v>
      </c>
      <c r="E53" s="153">
        <f t="shared" si="65"/>
        <v>6.1352040705121218E-5</v>
      </c>
      <c r="F53" s="154"/>
      <c r="G53" s="155">
        <f t="shared" si="59"/>
        <v>0</v>
      </c>
      <c r="H53" s="156"/>
      <c r="I53" s="157">
        <f t="shared" si="60"/>
        <v>0</v>
      </c>
      <c r="J53" s="154">
        <v>50</v>
      </c>
      <c r="K53" s="155">
        <f t="shared" si="61"/>
        <v>50</v>
      </c>
      <c r="L53" s="154">
        <v>50</v>
      </c>
      <c r="M53" s="157">
        <f t="shared" si="62"/>
        <v>100</v>
      </c>
      <c r="N53" s="154"/>
      <c r="O53" s="155">
        <f t="shared" si="63"/>
        <v>100</v>
      </c>
      <c r="P53" s="156"/>
      <c r="Q53" s="157">
        <f t="shared" si="64"/>
        <v>100</v>
      </c>
    </row>
    <row r="54" spans="1:17" s="89" customFormat="1" ht="42.75" x14ac:dyDescent="0.25">
      <c r="A54" s="342"/>
      <c r="B54" s="150" t="str">
        <f>PO!A54</f>
        <v>7.21</v>
      </c>
      <c r="C54" s="151" t="str">
        <f>PO!D54</f>
        <v>TUBO, PVC, SOLDÁVEL, DN 25 MM, INSTALADO EM RESERVAÇÃO DE ÁGUA DE EDIFICAÇÃO QUE POSSUA RESERVATÓRIO DE FIBRA/FIBROCIMENTO FORNECIMENTO E INSTALAÇÃO. AF_06/2016</v>
      </c>
      <c r="D54" s="152">
        <f>PO!J54</f>
        <v>1187.3313143999999</v>
      </c>
      <c r="E54" s="153">
        <f t="shared" si="65"/>
        <v>3.2793086937944757E-3</v>
      </c>
      <c r="F54" s="154"/>
      <c r="G54" s="155">
        <f t="shared" si="59"/>
        <v>0</v>
      </c>
      <c r="H54" s="156"/>
      <c r="I54" s="157">
        <f t="shared" si="60"/>
        <v>0</v>
      </c>
      <c r="J54" s="154">
        <v>50</v>
      </c>
      <c r="K54" s="155">
        <f t="shared" si="61"/>
        <v>50</v>
      </c>
      <c r="L54" s="154">
        <v>50</v>
      </c>
      <c r="M54" s="157">
        <f t="shared" si="62"/>
        <v>100</v>
      </c>
      <c r="N54" s="154"/>
      <c r="O54" s="155">
        <f t="shared" si="63"/>
        <v>100</v>
      </c>
      <c r="P54" s="156"/>
      <c r="Q54" s="157">
        <f t="shared" si="64"/>
        <v>100</v>
      </c>
    </row>
    <row r="55" spans="1:17" s="89" customFormat="1" ht="28.5" x14ac:dyDescent="0.25">
      <c r="A55" s="342"/>
      <c r="B55" s="150" t="str">
        <f>PO!A55</f>
        <v>7.22</v>
      </c>
      <c r="C55" s="151" t="str">
        <f>PO!D55</f>
        <v>TUBO, PVC, SOLDÁVEL, DN 50MM, INSTALADO EM PRUMADA DE ÁGUA - FORNECIMENTO E INSTALAÇÃO. AF_12/2014</v>
      </c>
      <c r="D55" s="152">
        <f>PO!J55</f>
        <v>94.151030399999996</v>
      </c>
      <c r="E55" s="153">
        <f t="shared" si="65"/>
        <v>2.6003718488335354E-4</v>
      </c>
      <c r="F55" s="154"/>
      <c r="G55" s="155">
        <f t="shared" si="59"/>
        <v>0</v>
      </c>
      <c r="H55" s="156"/>
      <c r="I55" s="157">
        <f t="shared" si="60"/>
        <v>0</v>
      </c>
      <c r="J55" s="154">
        <v>50</v>
      </c>
      <c r="K55" s="155">
        <f t="shared" si="61"/>
        <v>50</v>
      </c>
      <c r="L55" s="154">
        <v>50</v>
      </c>
      <c r="M55" s="157">
        <f t="shared" si="62"/>
        <v>100</v>
      </c>
      <c r="N55" s="154"/>
      <c r="O55" s="155">
        <f t="shared" si="63"/>
        <v>100</v>
      </c>
      <c r="P55" s="156"/>
      <c r="Q55" s="157">
        <f t="shared" si="64"/>
        <v>100</v>
      </c>
    </row>
    <row r="56" spans="1:17" s="89" customFormat="1" ht="42.75" x14ac:dyDescent="0.25">
      <c r="A56" s="342"/>
      <c r="B56" s="150" t="str">
        <f>PO!A56</f>
        <v>7.23</v>
      </c>
      <c r="C56" s="151" t="str">
        <f>PO!D56</f>
        <v>JUNÇÃO SIMPLES, PVC, SERIE NORMAL, ESGOTO PREDIAL, DN 100 X 100 MM, JUNTA ELÁSTICA, FORNECIDO E INSTALADO EM RAMAL DE DESCARGA OU RAMAL DE ESGOTO SANITÁRIO. AF_12/2014</v>
      </c>
      <c r="D56" s="152">
        <f>PO!J56</f>
        <v>118.07002799999998</v>
      </c>
      <c r="E56" s="153">
        <f t="shared" si="65"/>
        <v>3.2609943374787247E-4</v>
      </c>
      <c r="F56" s="154"/>
      <c r="G56" s="155">
        <f t="shared" si="59"/>
        <v>0</v>
      </c>
      <c r="H56" s="156"/>
      <c r="I56" s="157">
        <f t="shared" si="60"/>
        <v>0</v>
      </c>
      <c r="J56" s="154">
        <v>50</v>
      </c>
      <c r="K56" s="155">
        <f t="shared" si="61"/>
        <v>50</v>
      </c>
      <c r="L56" s="154">
        <v>50</v>
      </c>
      <c r="M56" s="157">
        <f t="shared" si="62"/>
        <v>100</v>
      </c>
      <c r="N56" s="154"/>
      <c r="O56" s="155">
        <f t="shared" si="63"/>
        <v>100</v>
      </c>
      <c r="P56" s="156"/>
      <c r="Q56" s="157">
        <f t="shared" si="64"/>
        <v>100</v>
      </c>
    </row>
    <row r="57" spans="1:17" s="89" customFormat="1" ht="42.75" x14ac:dyDescent="0.25">
      <c r="A57" s="342"/>
      <c r="B57" s="150" t="str">
        <f>PO!A57</f>
        <v>7.24</v>
      </c>
      <c r="C57" s="151" t="str">
        <f>PO!D57</f>
        <v>JUNÇÃO SIMPLES, PVC, SERIE NORMAL, ESGOTO PREDIAL, DN 50 X 50 MM, JUNTA ELÁSTICA, FORNECIDO E INSTALADO EM PRUMADA DE ESGOTO SANITÁRIO OU VENTILAÇÃO. AF_12/2014</v>
      </c>
      <c r="D57" s="152">
        <f>PO!J57</f>
        <v>26.407223999999999</v>
      </c>
      <c r="E57" s="153">
        <f t="shared" si="65"/>
        <v>7.2934519785607476E-5</v>
      </c>
      <c r="F57" s="154"/>
      <c r="G57" s="155">
        <f t="shared" si="59"/>
        <v>0</v>
      </c>
      <c r="H57" s="156"/>
      <c r="I57" s="157">
        <f t="shared" si="60"/>
        <v>0</v>
      </c>
      <c r="J57" s="154">
        <v>50</v>
      </c>
      <c r="K57" s="155">
        <f t="shared" si="61"/>
        <v>50</v>
      </c>
      <c r="L57" s="154">
        <v>50</v>
      </c>
      <c r="M57" s="157">
        <f t="shared" si="62"/>
        <v>100</v>
      </c>
      <c r="N57" s="154"/>
      <c r="O57" s="155">
        <f t="shared" si="63"/>
        <v>100</v>
      </c>
      <c r="P57" s="156"/>
      <c r="Q57" s="157">
        <f t="shared" si="64"/>
        <v>100</v>
      </c>
    </row>
    <row r="58" spans="1:17" s="89" customFormat="1" ht="42.75" x14ac:dyDescent="0.25">
      <c r="A58" s="342"/>
      <c r="B58" s="150" t="str">
        <f>PO!A58</f>
        <v>7.25</v>
      </c>
      <c r="C58" s="151" t="str">
        <f>PO!D58</f>
        <v>CURVA CURTA 90 GRAUS, PVC, SERIE NORMAL, ESGOTO PREDIAL, DN 40 MM, JUNTA SOLDÁVEL, FORNECIDO E INSTALADO EM RAMAL DE DESCARGA OU RAMAL DE ESGOTO SANITÁRIO. AF_12/2014</v>
      </c>
      <c r="D58" s="152">
        <f>PO!J58</f>
        <v>180.36464399999997</v>
      </c>
      <c r="E58" s="153">
        <f t="shared" si="65"/>
        <v>4.9815189572527754E-4</v>
      </c>
      <c r="F58" s="154"/>
      <c r="G58" s="155">
        <f t="shared" si="59"/>
        <v>0</v>
      </c>
      <c r="H58" s="156"/>
      <c r="I58" s="157">
        <f t="shared" si="60"/>
        <v>0</v>
      </c>
      <c r="J58" s="154">
        <v>50</v>
      </c>
      <c r="K58" s="155">
        <f t="shared" si="61"/>
        <v>50</v>
      </c>
      <c r="L58" s="154">
        <v>50</v>
      </c>
      <c r="M58" s="157">
        <f t="shared" si="62"/>
        <v>100</v>
      </c>
      <c r="N58" s="154"/>
      <c r="O58" s="155">
        <f t="shared" si="63"/>
        <v>100</v>
      </c>
      <c r="P58" s="156"/>
      <c r="Q58" s="157">
        <f t="shared" si="64"/>
        <v>100</v>
      </c>
    </row>
    <row r="59" spans="1:17" s="89" customFormat="1" ht="42.75" x14ac:dyDescent="0.25">
      <c r="A59" s="342"/>
      <c r="B59" s="150" t="str">
        <f>PO!A59</f>
        <v>7.26</v>
      </c>
      <c r="C59" s="151" t="str">
        <f>PO!D59</f>
        <v>JOELHO 90 GRAUS, PVC, SERIE NORMAL, ESGOTO PREDIAL, DN 50 MM, JUNTA ELÁSTICA, FORNECIDO E INSTALADO EM RAMAL DE DESCARGA OU RAMAL DE ESGOTO SANITÁRIO. AF_12/2014</v>
      </c>
      <c r="D59" s="152">
        <f>PO!J59</f>
        <v>62.065871999999999</v>
      </c>
      <c r="E59" s="153">
        <f t="shared" si="65"/>
        <v>1.714206903911968E-4</v>
      </c>
      <c r="F59" s="154"/>
      <c r="G59" s="155">
        <f t="shared" si="59"/>
        <v>0</v>
      </c>
      <c r="H59" s="156"/>
      <c r="I59" s="157">
        <f t="shared" si="60"/>
        <v>0</v>
      </c>
      <c r="J59" s="154">
        <v>50</v>
      </c>
      <c r="K59" s="155">
        <f t="shared" si="61"/>
        <v>50</v>
      </c>
      <c r="L59" s="154">
        <v>50</v>
      </c>
      <c r="M59" s="157">
        <f t="shared" si="62"/>
        <v>100</v>
      </c>
      <c r="N59" s="154"/>
      <c r="O59" s="155">
        <f t="shared" si="63"/>
        <v>100</v>
      </c>
      <c r="P59" s="156"/>
      <c r="Q59" s="157">
        <f t="shared" si="64"/>
        <v>100</v>
      </c>
    </row>
    <row r="60" spans="1:17" s="89" customFormat="1" ht="42.75" x14ac:dyDescent="0.25">
      <c r="A60" s="342"/>
      <c r="B60" s="150" t="str">
        <f>PO!A60</f>
        <v>7.27</v>
      </c>
      <c r="C60" s="151" t="str">
        <f>PO!D60</f>
        <v>JOELHO 90 GRAUS, PVC, SERIE NORMAL, ESGOTO PREDIAL, DN 100 MM, JUNTA ELÁSTICA, FORNECIDO E INSTALADO EM RAMAL DE DESCARGA OU RAMAL DE ESGOTO SANITÁRIO. AF_12/2014</v>
      </c>
      <c r="D60" s="152">
        <f>PO!J60</f>
        <v>200.26537200000001</v>
      </c>
      <c r="E60" s="153">
        <f t="shared" si="65"/>
        <v>5.5311602372540346E-4</v>
      </c>
      <c r="F60" s="154"/>
      <c r="G60" s="155">
        <f t="shared" si="59"/>
        <v>0</v>
      </c>
      <c r="H60" s="156"/>
      <c r="I60" s="157">
        <f t="shared" si="60"/>
        <v>0</v>
      </c>
      <c r="J60" s="154">
        <v>50</v>
      </c>
      <c r="K60" s="155">
        <f t="shared" si="61"/>
        <v>50</v>
      </c>
      <c r="L60" s="154">
        <v>50</v>
      </c>
      <c r="M60" s="157">
        <f t="shared" si="62"/>
        <v>100</v>
      </c>
      <c r="N60" s="154"/>
      <c r="O60" s="155">
        <f t="shared" si="63"/>
        <v>100</v>
      </c>
      <c r="P60" s="156"/>
      <c r="Q60" s="157">
        <f t="shared" si="64"/>
        <v>100</v>
      </c>
    </row>
    <row r="61" spans="1:17" s="89" customFormat="1" ht="28.5" x14ac:dyDescent="0.25">
      <c r="A61" s="342"/>
      <c r="B61" s="150" t="str">
        <f>PO!A64</f>
        <v>7.31</v>
      </c>
      <c r="C61" s="151" t="str">
        <f>PO!D64</f>
        <v>JOELHO 45 GRAUS, PVC, SERIE R, ÁGUA PLUVIAL, DN 100 MM, JUNTA ELÁSTICA, FORNECIDO E INSTALADO EM RAMAL DE ENCAMINHAMENTO. AF_12/2014</v>
      </c>
      <c r="D61" s="152">
        <f>PO!J64</f>
        <v>53.729424000000002</v>
      </c>
      <c r="E61" s="153">
        <f t="shared" si="65"/>
        <v>1.4839612591604833E-4</v>
      </c>
      <c r="F61" s="154"/>
      <c r="G61" s="155">
        <f t="shared" si="59"/>
        <v>0</v>
      </c>
      <c r="H61" s="156"/>
      <c r="I61" s="157">
        <f t="shared" si="60"/>
        <v>0</v>
      </c>
      <c r="J61" s="154">
        <v>50</v>
      </c>
      <c r="K61" s="155">
        <f t="shared" si="61"/>
        <v>50</v>
      </c>
      <c r="L61" s="154">
        <v>50</v>
      </c>
      <c r="M61" s="157">
        <f t="shared" si="62"/>
        <v>100</v>
      </c>
      <c r="N61" s="154"/>
      <c r="O61" s="155">
        <f t="shared" si="63"/>
        <v>100</v>
      </c>
      <c r="P61" s="156"/>
      <c r="Q61" s="157">
        <f t="shared" si="64"/>
        <v>100</v>
      </c>
    </row>
    <row r="62" spans="1:17" s="89" customFormat="1" ht="42.75" x14ac:dyDescent="0.25">
      <c r="A62" s="342"/>
      <c r="B62" s="150" t="str">
        <f>PO!A68</f>
        <v>7.35</v>
      </c>
      <c r="C62" s="151" t="str">
        <f>PO!D68</f>
        <v>TUBO PVC, SERIE NORMAL, ESGOTO PREDIAL, DN 100 MM, FORNECIDO E INSTALADO EM RAMAL DE DESCARGA OU RAMAL DE ESGOTO SANITÁRIO. AF_12/2014</v>
      </c>
      <c r="D62" s="152">
        <f>PO!J68</f>
        <v>850.41986831999986</v>
      </c>
      <c r="E62" s="153">
        <f t="shared" si="65"/>
        <v>2.3487877677736491E-3</v>
      </c>
      <c r="F62" s="154"/>
      <c r="G62" s="155">
        <f t="shared" si="59"/>
        <v>0</v>
      </c>
      <c r="H62" s="156"/>
      <c r="I62" s="157">
        <f t="shared" si="60"/>
        <v>0</v>
      </c>
      <c r="J62" s="154">
        <v>50</v>
      </c>
      <c r="K62" s="155">
        <f t="shared" si="61"/>
        <v>50</v>
      </c>
      <c r="L62" s="154">
        <v>50</v>
      </c>
      <c r="M62" s="157">
        <f t="shared" si="62"/>
        <v>100</v>
      </c>
      <c r="N62" s="154"/>
      <c r="O62" s="155">
        <f t="shared" si="63"/>
        <v>100</v>
      </c>
      <c r="P62" s="156"/>
      <c r="Q62" s="157">
        <f t="shared" si="64"/>
        <v>100</v>
      </c>
    </row>
    <row r="63" spans="1:17" s="89" customFormat="1" ht="45.75" customHeight="1" x14ac:dyDescent="0.25">
      <c r="A63" s="342"/>
      <c r="B63" s="150" t="str">
        <f>PO!A69</f>
        <v>7.36</v>
      </c>
      <c r="C63" s="151" t="str">
        <f>PO!D69</f>
        <v>TUBO PVC, SERIE NORMAL, ESGOTO PREDIAL, DN 50 MM, FORNECIDO E INSTALADO EM RAMAL DE DESCARGA OU RAMAL DE ESGOTO SANITÁRIO. AF_12/2014</v>
      </c>
      <c r="D63" s="152">
        <f>PO!J69</f>
        <v>503.26856999999995</v>
      </c>
      <c r="E63" s="153">
        <f t="shared" si="65"/>
        <v>1.3899852357119923E-3</v>
      </c>
      <c r="F63" s="154"/>
      <c r="G63" s="155">
        <f t="shared" si="59"/>
        <v>0</v>
      </c>
      <c r="H63" s="156"/>
      <c r="I63" s="157">
        <f t="shared" si="60"/>
        <v>0</v>
      </c>
      <c r="J63" s="154">
        <v>50</v>
      </c>
      <c r="K63" s="155">
        <f t="shared" si="61"/>
        <v>50</v>
      </c>
      <c r="L63" s="154">
        <v>50</v>
      </c>
      <c r="M63" s="157">
        <f t="shared" si="62"/>
        <v>100</v>
      </c>
      <c r="N63" s="154"/>
      <c r="O63" s="155">
        <f t="shared" si="63"/>
        <v>100</v>
      </c>
      <c r="P63" s="156"/>
      <c r="Q63" s="157">
        <f t="shared" si="64"/>
        <v>100</v>
      </c>
    </row>
    <row r="64" spans="1:17" s="89" customFormat="1" ht="28.5" x14ac:dyDescent="0.25">
      <c r="A64" s="342"/>
      <c r="B64" s="150" t="str">
        <f>PO!A70</f>
        <v>7.37</v>
      </c>
      <c r="C64" s="151" t="str">
        <f>PO!D70</f>
        <v>TUBO PVC, SERIE NORMAL, ESGOTO PREDIAL, DN 40 MM, FORNECIDO E INSTALAD O EM RAMAL DE DESCARGA OU RAMAL DE ESGOTO SANITÁRIO. AF_12/2014</v>
      </c>
      <c r="D64" s="152">
        <f>PO!J70</f>
        <v>768.63448440000002</v>
      </c>
      <c r="E64" s="153">
        <f t="shared" si="65"/>
        <v>2.1229034528722902E-3</v>
      </c>
      <c r="F64" s="154"/>
      <c r="G64" s="155">
        <f t="shared" si="59"/>
        <v>0</v>
      </c>
      <c r="H64" s="156"/>
      <c r="I64" s="157">
        <f t="shared" si="60"/>
        <v>0</v>
      </c>
      <c r="J64" s="154">
        <v>50</v>
      </c>
      <c r="K64" s="155">
        <f t="shared" si="61"/>
        <v>50</v>
      </c>
      <c r="L64" s="154">
        <v>50</v>
      </c>
      <c r="M64" s="157">
        <f t="shared" si="62"/>
        <v>100</v>
      </c>
      <c r="N64" s="154"/>
      <c r="O64" s="155">
        <f t="shared" si="63"/>
        <v>100</v>
      </c>
      <c r="P64" s="156"/>
      <c r="Q64" s="157">
        <f t="shared" si="64"/>
        <v>100</v>
      </c>
    </row>
    <row r="65" spans="1:17" s="89" customFormat="1" ht="28.5" x14ac:dyDescent="0.25">
      <c r="A65" s="342"/>
      <c r="B65" s="150" t="str">
        <f>PO!A71</f>
        <v>7.38</v>
      </c>
      <c r="C65" s="151" t="str">
        <f>PO!D71</f>
        <v>IMPERMEABILIZACAO DE SUPERFICIE, COM IMPERMEABILIZANTE FLEXIVEL A BASE ACRILICA.</v>
      </c>
      <c r="D65" s="152">
        <f>PO!J71</f>
        <v>1627.6914719999997</v>
      </c>
      <c r="E65" s="153">
        <f t="shared" si="65"/>
        <v>4.4955462137727369E-3</v>
      </c>
      <c r="F65" s="154"/>
      <c r="G65" s="155">
        <f t="shared" si="59"/>
        <v>0</v>
      </c>
      <c r="H65" s="156"/>
      <c r="I65" s="157">
        <f t="shared" si="60"/>
        <v>0</v>
      </c>
      <c r="J65" s="154">
        <v>50</v>
      </c>
      <c r="K65" s="155">
        <f t="shared" si="61"/>
        <v>50</v>
      </c>
      <c r="L65" s="154">
        <v>50</v>
      </c>
      <c r="M65" s="157">
        <f t="shared" si="62"/>
        <v>100</v>
      </c>
      <c r="N65" s="154"/>
      <c r="O65" s="155">
        <f t="shared" si="63"/>
        <v>100</v>
      </c>
      <c r="P65" s="156"/>
      <c r="Q65" s="157">
        <f t="shared" si="64"/>
        <v>100</v>
      </c>
    </row>
    <row r="66" spans="1:17" s="89" customFormat="1" ht="15.75" thickBot="1" x14ac:dyDescent="0.3">
      <c r="A66" s="342"/>
      <c r="B66" s="150" t="str">
        <f>PO!A72</f>
        <v>7.39</v>
      </c>
      <c r="C66" s="151" t="str">
        <f>PO!D72</f>
        <v xml:space="preserve">MANTA IMPERMEABILIZANTE A BASE DE ASFALTO - FORNECIMENTO E INSTALACAO </v>
      </c>
      <c r="D66" s="152">
        <f>PO!J72</f>
        <v>1442.76770592</v>
      </c>
      <c r="E66" s="153">
        <f t="shared" si="65"/>
        <v>3.9848024083658984E-3</v>
      </c>
      <c r="F66" s="154"/>
      <c r="G66" s="155">
        <f t="shared" si="59"/>
        <v>0</v>
      </c>
      <c r="H66" s="156"/>
      <c r="I66" s="157">
        <f t="shared" si="60"/>
        <v>0</v>
      </c>
      <c r="J66" s="154">
        <v>50</v>
      </c>
      <c r="K66" s="155">
        <f t="shared" si="61"/>
        <v>50</v>
      </c>
      <c r="L66" s="154">
        <v>50</v>
      </c>
      <c r="M66" s="157">
        <f t="shared" si="62"/>
        <v>100</v>
      </c>
      <c r="N66" s="154"/>
      <c r="O66" s="155">
        <f t="shared" si="63"/>
        <v>100</v>
      </c>
      <c r="P66" s="156"/>
      <c r="Q66" s="157">
        <f t="shared" si="64"/>
        <v>100</v>
      </c>
    </row>
    <row r="67" spans="1:17" s="89" customFormat="1" ht="15" x14ac:dyDescent="0.25">
      <c r="A67" s="341">
        <v>8</v>
      </c>
      <c r="B67" s="142">
        <f>PO!A73</f>
        <v>8</v>
      </c>
      <c r="C67" s="143" t="str">
        <f>PO!D73</f>
        <v>SISTEMA ELÉTRICO</v>
      </c>
      <c r="D67" s="144">
        <f>PO!J73</f>
        <v>24516.490435999996</v>
      </c>
      <c r="E67" s="145">
        <f t="shared" si="65"/>
        <v>6.7712473555648953E-2</v>
      </c>
      <c r="F67" s="146"/>
      <c r="G67" s="147"/>
      <c r="H67" s="148"/>
      <c r="I67" s="149"/>
      <c r="J67" s="146"/>
      <c r="K67" s="147"/>
      <c r="L67" s="148"/>
      <c r="M67" s="149"/>
      <c r="N67" s="146"/>
      <c r="O67" s="147"/>
      <c r="P67" s="148"/>
      <c r="Q67" s="149"/>
    </row>
    <row r="68" spans="1:17" s="89" customFormat="1" ht="28.5" x14ac:dyDescent="0.25">
      <c r="A68" s="342"/>
      <c r="B68" s="150" t="str">
        <f>PO!A74</f>
        <v>8.1</v>
      </c>
      <c r="C68" s="151" t="str">
        <f>PO!D74</f>
        <v>INTERRUPTOR PARALELO (1 MÓDULO), 10A/250V, INCLUINDO SUPORTE E PLACA - FORNECIMENTO E INSTALAÇÃO. AF_12/2015</v>
      </c>
      <c r="D68" s="152">
        <f>PO!J74</f>
        <v>78.179615999999996</v>
      </c>
      <c r="E68" s="153">
        <f t="shared" si="65"/>
        <v>2.1592548879742886E-4</v>
      </c>
      <c r="F68" s="154"/>
      <c r="G68" s="155">
        <f t="shared" ref="G68:G76" si="66">F68</f>
        <v>0</v>
      </c>
      <c r="H68" s="156"/>
      <c r="I68" s="157">
        <f t="shared" ref="I68:I76" si="67">G68+H68</f>
        <v>0</v>
      </c>
      <c r="J68" s="154">
        <v>50</v>
      </c>
      <c r="K68" s="155">
        <f t="shared" ref="K68:K76" si="68">I68+J68</f>
        <v>50</v>
      </c>
      <c r="L68" s="154">
        <v>50</v>
      </c>
      <c r="M68" s="157">
        <f t="shared" ref="M68:M76" si="69">K68+L68</f>
        <v>100</v>
      </c>
      <c r="N68" s="154"/>
      <c r="O68" s="155">
        <f t="shared" ref="O68:O76" si="70">M68+N68</f>
        <v>100</v>
      </c>
      <c r="P68" s="156"/>
      <c r="Q68" s="157">
        <f t="shared" ref="Q68:Q76" si="71">O68+P68</f>
        <v>100</v>
      </c>
    </row>
    <row r="69" spans="1:17" s="89" customFormat="1" ht="42.75" x14ac:dyDescent="0.25">
      <c r="A69" s="342"/>
      <c r="B69" s="150" t="str">
        <f>PO!A75</f>
        <v>8.2</v>
      </c>
      <c r="C69" s="151" t="str">
        <f>PO!D75</f>
        <v>INTERRUPTOR SIMPLES (1 MÓDULO) COM INTERRUPTOR PARALELO (2 MÓDULOS), 10A/250V, INCLUINDO SUPORTE E PLACA - FORNECIMENTO E INSTALAÇÃO. AF_12/2015</v>
      </c>
      <c r="D69" s="152">
        <f>PO!J75</f>
        <v>62.27</v>
      </c>
      <c r="E69" s="153">
        <f t="shared" si="65"/>
        <v>1.719844746668479E-4</v>
      </c>
      <c r="F69" s="154"/>
      <c r="G69" s="155">
        <f t="shared" si="66"/>
        <v>0</v>
      </c>
      <c r="H69" s="156"/>
      <c r="I69" s="157">
        <f t="shared" si="67"/>
        <v>0</v>
      </c>
      <c r="J69" s="154">
        <v>50</v>
      </c>
      <c r="K69" s="155">
        <f t="shared" si="68"/>
        <v>50</v>
      </c>
      <c r="L69" s="154">
        <v>50</v>
      </c>
      <c r="M69" s="157">
        <f t="shared" si="69"/>
        <v>100</v>
      </c>
      <c r="N69" s="154"/>
      <c r="O69" s="155">
        <f t="shared" si="70"/>
        <v>100</v>
      </c>
      <c r="P69" s="156"/>
      <c r="Q69" s="157">
        <f t="shared" si="71"/>
        <v>100</v>
      </c>
    </row>
    <row r="70" spans="1:17" s="89" customFormat="1" ht="28.5" x14ac:dyDescent="0.25">
      <c r="A70" s="342"/>
      <c r="B70" s="150" t="str">
        <f>PO!A76</f>
        <v>8.3</v>
      </c>
      <c r="C70" s="151" t="str">
        <f>PO!D76</f>
        <v>INTERRUPTOR PARALELO (2 MÓDULOS), 10A/250V, INCLUINDO SUPORTE E PLACA - FORNECIMENTO E INSTALAÇÃO. AF_12/2015</v>
      </c>
      <c r="D70" s="152">
        <f>PO!J76</f>
        <v>64.798091999999997</v>
      </c>
      <c r="E70" s="153">
        <f t="shared" si="65"/>
        <v>1.7896685100424087E-4</v>
      </c>
      <c r="F70" s="154"/>
      <c r="G70" s="155">
        <f t="shared" si="66"/>
        <v>0</v>
      </c>
      <c r="H70" s="156"/>
      <c r="I70" s="157">
        <f t="shared" si="67"/>
        <v>0</v>
      </c>
      <c r="J70" s="154">
        <v>50</v>
      </c>
      <c r="K70" s="155">
        <f t="shared" si="68"/>
        <v>50</v>
      </c>
      <c r="L70" s="154">
        <v>50</v>
      </c>
      <c r="M70" s="157">
        <f t="shared" si="69"/>
        <v>100</v>
      </c>
      <c r="N70" s="154"/>
      <c r="O70" s="155">
        <f t="shared" si="70"/>
        <v>100</v>
      </c>
      <c r="P70" s="156"/>
      <c r="Q70" s="157">
        <f t="shared" si="71"/>
        <v>100</v>
      </c>
    </row>
    <row r="71" spans="1:17" s="89" customFormat="1" ht="28.5" x14ac:dyDescent="0.25">
      <c r="A71" s="342"/>
      <c r="B71" s="150" t="str">
        <f>PO!A77</f>
        <v>8.4</v>
      </c>
      <c r="C71" s="151" t="str">
        <f>PO!D77</f>
        <v>INTERRUPTOR SIMPLES (1 MÓDULO), 10A/250V, INCLUINDO SUPORTE E PLACA - FORNECIMENTO E INSTALAÇÃO. AF_12/2015</v>
      </c>
      <c r="D71" s="152">
        <f>PO!J77</f>
        <v>220.255056</v>
      </c>
      <c r="E71" s="153">
        <f t="shared" si="65"/>
        <v>6.0832584067572126E-4</v>
      </c>
      <c r="F71" s="154"/>
      <c r="G71" s="155">
        <f t="shared" si="66"/>
        <v>0</v>
      </c>
      <c r="H71" s="156"/>
      <c r="I71" s="157">
        <f t="shared" si="67"/>
        <v>0</v>
      </c>
      <c r="J71" s="154">
        <v>50</v>
      </c>
      <c r="K71" s="155">
        <f t="shared" si="68"/>
        <v>50</v>
      </c>
      <c r="L71" s="154">
        <v>50</v>
      </c>
      <c r="M71" s="157">
        <f t="shared" si="69"/>
        <v>100</v>
      </c>
      <c r="N71" s="154"/>
      <c r="O71" s="155">
        <f t="shared" si="70"/>
        <v>100</v>
      </c>
      <c r="P71" s="156"/>
      <c r="Q71" s="157">
        <f t="shared" si="71"/>
        <v>100</v>
      </c>
    </row>
    <row r="72" spans="1:17" s="89" customFormat="1" ht="28.5" x14ac:dyDescent="0.25">
      <c r="A72" s="342"/>
      <c r="B72" s="150" t="str">
        <f>PO!A78</f>
        <v>8.5</v>
      </c>
      <c r="C72" s="151" t="str">
        <f>PO!D78</f>
        <v>INTERRUPTOR SIMPLES (2 MÓDULOS) COM 1 TOMADA DE EMBUTIR 2P+T 10 A, SEM SUPORTE E SEM PLACA - FORNECIMENTO E INSTALAÇÃO. AF_12/2015</v>
      </c>
      <c r="D72" s="152">
        <f>PO!J78</f>
        <v>64.645595999999998</v>
      </c>
      <c r="E72" s="153">
        <f t="shared" si="65"/>
        <v>1.7854566994676864E-4</v>
      </c>
      <c r="F72" s="154"/>
      <c r="G72" s="155">
        <f t="shared" si="66"/>
        <v>0</v>
      </c>
      <c r="H72" s="156"/>
      <c r="I72" s="157">
        <f t="shared" si="67"/>
        <v>0</v>
      </c>
      <c r="J72" s="154">
        <v>50</v>
      </c>
      <c r="K72" s="155">
        <f t="shared" si="68"/>
        <v>50</v>
      </c>
      <c r="L72" s="154">
        <v>50</v>
      </c>
      <c r="M72" s="157">
        <f t="shared" si="69"/>
        <v>100</v>
      </c>
      <c r="N72" s="154"/>
      <c r="O72" s="155">
        <f t="shared" si="70"/>
        <v>100</v>
      </c>
      <c r="P72" s="156"/>
      <c r="Q72" s="157">
        <f t="shared" si="71"/>
        <v>100</v>
      </c>
    </row>
    <row r="73" spans="1:17" s="89" customFormat="1" ht="28.5" x14ac:dyDescent="0.25">
      <c r="A73" s="342"/>
      <c r="B73" s="150" t="str">
        <f>PO!A79</f>
        <v>8.6</v>
      </c>
      <c r="C73" s="151" t="str">
        <f>PO!D79</f>
        <v>INTERRUPTOR SIMPLES (1 MÓDULO) COM 1 TOMADA DE EMBUTIR 2P+T 10 A, INCLUINDO SUPORTE E PLACA - FORNECIMENTO E INSTALAÇÃO. AF_12/2015</v>
      </c>
      <c r="D73" s="152">
        <f>PO!J79</f>
        <v>671.43988799999988</v>
      </c>
      <c r="E73" s="153">
        <f t="shared" si="65"/>
        <v>1.8544601960502195E-3</v>
      </c>
      <c r="F73" s="154"/>
      <c r="G73" s="155">
        <f t="shared" si="66"/>
        <v>0</v>
      </c>
      <c r="H73" s="156"/>
      <c r="I73" s="157">
        <f t="shared" si="67"/>
        <v>0</v>
      </c>
      <c r="J73" s="154">
        <v>50</v>
      </c>
      <c r="K73" s="155">
        <f t="shared" si="68"/>
        <v>50</v>
      </c>
      <c r="L73" s="154">
        <v>50</v>
      </c>
      <c r="M73" s="157">
        <f t="shared" si="69"/>
        <v>100</v>
      </c>
      <c r="N73" s="154"/>
      <c r="O73" s="155">
        <f t="shared" si="70"/>
        <v>100</v>
      </c>
      <c r="P73" s="156"/>
      <c r="Q73" s="157">
        <f t="shared" si="71"/>
        <v>100</v>
      </c>
    </row>
    <row r="74" spans="1:17" s="89" customFormat="1" ht="28.5" x14ac:dyDescent="0.25">
      <c r="A74" s="342"/>
      <c r="B74" s="150" t="str">
        <f>PO!A80</f>
        <v>8.7</v>
      </c>
      <c r="C74" s="151" t="str">
        <f>PO!D80</f>
        <v xml:space="preserve"> TOMADA ALTA DE EMBUTIR (1 MÓDULO), 2P+T 10 A, INCLUINDO SUPORTE E PLACA - FORNECIMENTO E INSTALAÇÃO. AF_12/2015</v>
      </c>
      <c r="D74" s="152">
        <f>PO!J80</f>
        <v>49.980563999999994</v>
      </c>
      <c r="E74" s="153">
        <f t="shared" ref="E74:E105" si="72">D74/$D$135</f>
        <v>1.3804209158652271E-4</v>
      </c>
      <c r="F74" s="154"/>
      <c r="G74" s="155">
        <f t="shared" si="66"/>
        <v>0</v>
      </c>
      <c r="H74" s="156"/>
      <c r="I74" s="157">
        <f t="shared" si="67"/>
        <v>0</v>
      </c>
      <c r="J74" s="154">
        <v>50</v>
      </c>
      <c r="K74" s="155">
        <f t="shared" si="68"/>
        <v>50</v>
      </c>
      <c r="L74" s="154">
        <v>50</v>
      </c>
      <c r="M74" s="157">
        <f t="shared" si="69"/>
        <v>100</v>
      </c>
      <c r="N74" s="154"/>
      <c r="O74" s="155">
        <f t="shared" si="70"/>
        <v>100</v>
      </c>
      <c r="P74" s="156"/>
      <c r="Q74" s="157">
        <f t="shared" si="71"/>
        <v>100</v>
      </c>
    </row>
    <row r="75" spans="1:17" s="89" customFormat="1" ht="28.5" x14ac:dyDescent="0.25">
      <c r="A75" s="342"/>
      <c r="B75" s="150" t="str">
        <f>PO!A81</f>
        <v>8.8</v>
      </c>
      <c r="C75" s="151" t="str">
        <f>PO!D81</f>
        <v>TOMADA MÉDIA DE EMBUTIR (1 MÓDULO), 2P+T 10 A, INCLUINDO SUPORTE E PLACA - FORNECIMENTO E INSTALAÇÃO. AF_12/2015</v>
      </c>
      <c r="D75" s="152">
        <f>PO!J81</f>
        <v>832.85690399999999</v>
      </c>
      <c r="E75" s="153">
        <f t="shared" si="72"/>
        <v>2.300280345384573E-3</v>
      </c>
      <c r="F75" s="154"/>
      <c r="G75" s="155">
        <f t="shared" si="66"/>
        <v>0</v>
      </c>
      <c r="H75" s="156"/>
      <c r="I75" s="157">
        <f t="shared" si="67"/>
        <v>0</v>
      </c>
      <c r="J75" s="154">
        <v>50</v>
      </c>
      <c r="K75" s="155">
        <f t="shared" si="68"/>
        <v>50</v>
      </c>
      <c r="L75" s="154">
        <v>50</v>
      </c>
      <c r="M75" s="157">
        <f t="shared" si="69"/>
        <v>100</v>
      </c>
      <c r="N75" s="154"/>
      <c r="O75" s="155">
        <f t="shared" si="70"/>
        <v>100</v>
      </c>
      <c r="P75" s="156"/>
      <c r="Q75" s="157">
        <f t="shared" si="71"/>
        <v>100</v>
      </c>
    </row>
    <row r="76" spans="1:17" s="89" customFormat="1" ht="28.5" x14ac:dyDescent="0.25">
      <c r="A76" s="342"/>
      <c r="B76" s="150" t="str">
        <f>PO!A82</f>
        <v>8.9</v>
      </c>
      <c r="C76" s="151" t="str">
        <f>PO!D82</f>
        <v>TOMADA BAIXA DE EMBUTIR (1 MÓDULO), 2P+T 10 A, INCLUINDO SUPORTE E PLACA - FORNECIMENTO E INSTALAÇÃO. AF_12/2015</v>
      </c>
      <c r="D76" s="152">
        <f>PO!J82</f>
        <v>198.854784</v>
      </c>
      <c r="E76" s="153">
        <f t="shared" si="72"/>
        <v>5.4922009894378524E-4</v>
      </c>
      <c r="F76" s="154"/>
      <c r="G76" s="155">
        <f t="shared" si="66"/>
        <v>0</v>
      </c>
      <c r="H76" s="156"/>
      <c r="I76" s="157">
        <f t="shared" si="67"/>
        <v>0</v>
      </c>
      <c r="J76" s="154">
        <v>50</v>
      </c>
      <c r="K76" s="155">
        <f t="shared" si="68"/>
        <v>50</v>
      </c>
      <c r="L76" s="154">
        <v>50</v>
      </c>
      <c r="M76" s="157">
        <f t="shared" si="69"/>
        <v>100</v>
      </c>
      <c r="N76" s="154"/>
      <c r="O76" s="155">
        <f t="shared" si="70"/>
        <v>100</v>
      </c>
      <c r="P76" s="156"/>
      <c r="Q76" s="157">
        <f t="shared" si="71"/>
        <v>100</v>
      </c>
    </row>
    <row r="77" spans="1:17" s="89" customFormat="1" ht="28.5" x14ac:dyDescent="0.25">
      <c r="A77" s="342"/>
      <c r="B77" s="150" t="str">
        <f>PO!A83</f>
        <v>8.10</v>
      </c>
      <c r="C77" s="151" t="str">
        <f>PO!D83</f>
        <v>TOMADA MÉDIA DE EMBUTIR (2 MÓDULOS), 2P+T 10 A, INCLUINDO SUPORTE E PLACA - FORNECIMENTO E INSTALAÇÃO. AF_12/2015</v>
      </c>
      <c r="D77" s="152">
        <f>PO!J83</f>
        <v>498.66191999999995</v>
      </c>
      <c r="E77" s="153">
        <f t="shared" si="72"/>
        <v>1.3772620579341854E-3</v>
      </c>
      <c r="F77" s="154"/>
      <c r="G77" s="155">
        <f t="shared" ref="G77:G102" si="73">F77</f>
        <v>0</v>
      </c>
      <c r="H77" s="156"/>
      <c r="I77" s="157">
        <f t="shared" ref="I77:I102" si="74">G77+H77</f>
        <v>0</v>
      </c>
      <c r="J77" s="154">
        <v>50</v>
      </c>
      <c r="K77" s="155">
        <f t="shared" ref="K77:K102" si="75">I77+J77</f>
        <v>50</v>
      </c>
      <c r="L77" s="154">
        <v>50</v>
      </c>
      <c r="M77" s="157">
        <f t="shared" ref="M77:M102" si="76">K77+L77</f>
        <v>100</v>
      </c>
      <c r="N77" s="154"/>
      <c r="O77" s="155">
        <f t="shared" ref="O77:O102" si="77">M77+N77</f>
        <v>100</v>
      </c>
      <c r="P77" s="156"/>
      <c r="Q77" s="157">
        <f t="shared" ref="Q77:Q102" si="78">O77+P77</f>
        <v>100</v>
      </c>
    </row>
    <row r="78" spans="1:17" s="89" customFormat="1" ht="28.5" x14ac:dyDescent="0.25">
      <c r="A78" s="342"/>
      <c r="B78" s="150" t="str">
        <f>PO!A84</f>
        <v>8.11</v>
      </c>
      <c r="C78" s="151" t="str">
        <f>PO!D84</f>
        <v>TOMADA BAIXA DE EMBUTIR (2 MÓDULOS), 2P+T 10 A, INCLUINDO SUPORTE E PLACA - FORNECIMENTO E INSTALAÇÃO. AF_12/2015</v>
      </c>
      <c r="D78" s="152">
        <f>PO!J84</f>
        <v>1217.0705760000001</v>
      </c>
      <c r="E78" s="153">
        <f t="shared" si="72"/>
        <v>3.3614460196858516E-3</v>
      </c>
      <c r="F78" s="154"/>
      <c r="G78" s="155">
        <f t="shared" si="73"/>
        <v>0</v>
      </c>
      <c r="H78" s="156"/>
      <c r="I78" s="157">
        <f t="shared" si="74"/>
        <v>0</v>
      </c>
      <c r="J78" s="154">
        <v>50</v>
      </c>
      <c r="K78" s="155">
        <f t="shared" si="75"/>
        <v>50</v>
      </c>
      <c r="L78" s="154">
        <v>50</v>
      </c>
      <c r="M78" s="157">
        <f t="shared" si="76"/>
        <v>100</v>
      </c>
      <c r="N78" s="154"/>
      <c r="O78" s="155">
        <f t="shared" si="77"/>
        <v>100</v>
      </c>
      <c r="P78" s="156"/>
      <c r="Q78" s="157">
        <f t="shared" si="78"/>
        <v>100</v>
      </c>
    </row>
    <row r="79" spans="1:17" s="89" customFormat="1" ht="28.5" x14ac:dyDescent="0.25">
      <c r="A79" s="342"/>
      <c r="B79" s="150" t="str">
        <f>PO!A85</f>
        <v>8.12</v>
      </c>
      <c r="C79" s="151" t="str">
        <f>PO!D85</f>
        <v>TOMADA BAIXA DE EMBUTIR (3 MÓDULOS), 2P+T 10 A, INCLUINDO SUPORTE E PLACA - FORNECIMENTO E INSTALAÇÃO. AF_12/2015</v>
      </c>
      <c r="D79" s="152">
        <f>PO!J85</f>
        <v>218.03115599999995</v>
      </c>
      <c r="E79" s="153">
        <f t="shared" si="72"/>
        <v>6.0218361692091784E-4</v>
      </c>
      <c r="F79" s="154"/>
      <c r="G79" s="155">
        <f t="shared" si="73"/>
        <v>0</v>
      </c>
      <c r="H79" s="156"/>
      <c r="I79" s="157">
        <f t="shared" si="74"/>
        <v>0</v>
      </c>
      <c r="J79" s="154">
        <v>50</v>
      </c>
      <c r="K79" s="155">
        <f t="shared" si="75"/>
        <v>50</v>
      </c>
      <c r="L79" s="154">
        <v>50</v>
      </c>
      <c r="M79" s="157">
        <f t="shared" si="76"/>
        <v>100</v>
      </c>
      <c r="N79" s="154"/>
      <c r="O79" s="155">
        <f t="shared" si="77"/>
        <v>100</v>
      </c>
      <c r="P79" s="156"/>
      <c r="Q79" s="157">
        <f t="shared" si="78"/>
        <v>100</v>
      </c>
    </row>
    <row r="80" spans="1:17" s="89" customFormat="1" ht="28.5" x14ac:dyDescent="0.25">
      <c r="A80" s="342"/>
      <c r="B80" s="150" t="str">
        <f>PO!A86</f>
        <v>8.13</v>
      </c>
      <c r="C80" s="151" t="str">
        <f>PO!D86</f>
        <v>LUMINÁRIA ARANDELA TIPO MEIA-LUA, PARA 1 LÂMPADA LED - FORNECIMENTO E INSTALAÇÃO. AF_11/2017</v>
      </c>
      <c r="D80" s="152">
        <f>PO!J86</f>
        <v>443.57273999999995</v>
      </c>
      <c r="E80" s="153">
        <f t="shared" si="72"/>
        <v>1.225110400922343E-3</v>
      </c>
      <c r="F80" s="154"/>
      <c r="G80" s="155">
        <f t="shared" si="73"/>
        <v>0</v>
      </c>
      <c r="H80" s="156"/>
      <c r="I80" s="157">
        <f t="shared" si="74"/>
        <v>0</v>
      </c>
      <c r="J80" s="154">
        <v>50</v>
      </c>
      <c r="K80" s="155">
        <f t="shared" si="75"/>
        <v>50</v>
      </c>
      <c r="L80" s="154">
        <v>50</v>
      </c>
      <c r="M80" s="157">
        <f t="shared" si="76"/>
        <v>100</v>
      </c>
      <c r="N80" s="154"/>
      <c r="O80" s="155">
        <f t="shared" si="77"/>
        <v>100</v>
      </c>
      <c r="P80" s="156"/>
      <c r="Q80" s="157">
        <f t="shared" si="78"/>
        <v>100</v>
      </c>
    </row>
    <row r="81" spans="1:17" s="89" customFormat="1" ht="28.5" x14ac:dyDescent="0.25">
      <c r="A81" s="342"/>
      <c r="B81" s="150" t="str">
        <f>PO!A87</f>
        <v>8.14</v>
      </c>
      <c r="C81" s="151" t="str">
        <f>PO!D87</f>
        <v>LUMINÁRIA TIPO CALHA, DE SOBREPOR, COM 2 LÂMPADAS TUBULARES DE 36 W - FORNECIMENTO E INSTALAÇÃO. AF_11/2017</v>
      </c>
      <c r="D81" s="152">
        <f>PO!J87</f>
        <v>2926.2965759999997</v>
      </c>
      <c r="E81" s="153">
        <f t="shared" si="72"/>
        <v>8.0821837055204057E-3</v>
      </c>
      <c r="F81" s="154"/>
      <c r="G81" s="155">
        <f t="shared" si="73"/>
        <v>0</v>
      </c>
      <c r="H81" s="156"/>
      <c r="I81" s="157">
        <f t="shared" si="74"/>
        <v>0</v>
      </c>
      <c r="J81" s="154">
        <v>50</v>
      </c>
      <c r="K81" s="155">
        <f t="shared" si="75"/>
        <v>50</v>
      </c>
      <c r="L81" s="154">
        <v>50</v>
      </c>
      <c r="M81" s="157">
        <f t="shared" si="76"/>
        <v>100</v>
      </c>
      <c r="N81" s="154"/>
      <c r="O81" s="155">
        <f t="shared" si="77"/>
        <v>100</v>
      </c>
      <c r="P81" s="156"/>
      <c r="Q81" s="157">
        <f t="shared" si="78"/>
        <v>100</v>
      </c>
    </row>
    <row r="82" spans="1:17" s="89" customFormat="1" ht="28.5" x14ac:dyDescent="0.25">
      <c r="A82" s="342"/>
      <c r="B82" s="150" t="str">
        <f>PO!A88</f>
        <v>8.15</v>
      </c>
      <c r="C82" s="151" t="str">
        <f>PO!D88</f>
        <v>LUMINÁRIA TIPO PLAFON EM PLÁSTICO, DE SOBREPOR, COM 1 LÂMPADA DE 15 W - FORNECIMENTO E INSTALAÇÃO. AF_11/2017</v>
      </c>
      <c r="D82" s="152">
        <f>PO!J88</f>
        <v>507.50668799999994</v>
      </c>
      <c r="E82" s="153">
        <f t="shared" si="72"/>
        <v>1.4016905592675747E-3</v>
      </c>
      <c r="F82" s="154"/>
      <c r="G82" s="155">
        <f t="shared" si="73"/>
        <v>0</v>
      </c>
      <c r="H82" s="156"/>
      <c r="I82" s="157">
        <f t="shared" si="74"/>
        <v>0</v>
      </c>
      <c r="J82" s="154">
        <v>50</v>
      </c>
      <c r="K82" s="155">
        <f t="shared" si="75"/>
        <v>50</v>
      </c>
      <c r="L82" s="154">
        <v>50</v>
      </c>
      <c r="M82" s="157">
        <f t="shared" si="76"/>
        <v>100</v>
      </c>
      <c r="N82" s="154"/>
      <c r="O82" s="155">
        <f t="shared" si="77"/>
        <v>100</v>
      </c>
      <c r="P82" s="156"/>
      <c r="Q82" s="157">
        <f t="shared" si="78"/>
        <v>100</v>
      </c>
    </row>
    <row r="83" spans="1:17" s="89" customFormat="1" ht="28.5" x14ac:dyDescent="0.25">
      <c r="A83" s="342"/>
      <c r="B83" s="150" t="str">
        <f>PO!A89</f>
        <v>8.16</v>
      </c>
      <c r="C83" s="151" t="str">
        <f>PO!D89</f>
        <v>CHUVEIRO ELETRICO COMUM CORPO PLASTICO TIPO DUCHA, FORNECIMENTO E INSTALACAO</v>
      </c>
      <c r="D83" s="152">
        <f>PO!J89</f>
        <v>326.23977600000001</v>
      </c>
      <c r="E83" s="153">
        <f t="shared" si="72"/>
        <v>9.0104667561891972E-4</v>
      </c>
      <c r="F83" s="154"/>
      <c r="G83" s="155">
        <f t="shared" si="73"/>
        <v>0</v>
      </c>
      <c r="H83" s="156"/>
      <c r="I83" s="157">
        <f t="shared" si="74"/>
        <v>0</v>
      </c>
      <c r="J83" s="154">
        <v>50</v>
      </c>
      <c r="K83" s="155">
        <f t="shared" si="75"/>
        <v>50</v>
      </c>
      <c r="L83" s="154">
        <v>50</v>
      </c>
      <c r="M83" s="157">
        <f t="shared" si="76"/>
        <v>100</v>
      </c>
      <c r="N83" s="154"/>
      <c r="O83" s="155">
        <f t="shared" si="77"/>
        <v>100</v>
      </c>
      <c r="P83" s="156"/>
      <c r="Q83" s="157">
        <f t="shared" si="78"/>
        <v>100</v>
      </c>
    </row>
    <row r="84" spans="1:17" s="89" customFormat="1" ht="28.5" x14ac:dyDescent="0.25">
      <c r="A84" s="342"/>
      <c r="B84" s="150" t="str">
        <f>PO!A90</f>
        <v>8.17</v>
      </c>
      <c r="C84" s="151" t="str">
        <f>PO!D90</f>
        <v>ELETRODUTO FLEXÍVEL CORRUGADO, PVC, DN 25 MM (3/4"), PARA CIRCUITOS TERMINAIS, INSTALADO EM LAJE - FORNECIMENTO E INSTALAÇÃO. AF_12/2015</v>
      </c>
      <c r="D84" s="152">
        <f>PO!J90</f>
        <v>4430.0087999999996</v>
      </c>
      <c r="E84" s="153">
        <f t="shared" si="72"/>
        <v>1.2235309719568222E-2</v>
      </c>
      <c r="F84" s="154"/>
      <c r="G84" s="155">
        <f t="shared" si="73"/>
        <v>0</v>
      </c>
      <c r="H84" s="156"/>
      <c r="I84" s="157">
        <f t="shared" si="74"/>
        <v>0</v>
      </c>
      <c r="J84" s="154">
        <v>50</v>
      </c>
      <c r="K84" s="155">
        <f t="shared" si="75"/>
        <v>50</v>
      </c>
      <c r="L84" s="154">
        <v>50</v>
      </c>
      <c r="M84" s="157">
        <f t="shared" si="76"/>
        <v>100</v>
      </c>
      <c r="N84" s="154"/>
      <c r="O84" s="155">
        <f t="shared" si="77"/>
        <v>100</v>
      </c>
      <c r="P84" s="156"/>
      <c r="Q84" s="157">
        <f t="shared" si="78"/>
        <v>100</v>
      </c>
    </row>
    <row r="85" spans="1:17" s="89" customFormat="1" ht="28.5" x14ac:dyDescent="0.25">
      <c r="A85" s="342"/>
      <c r="B85" s="150" t="str">
        <f>PO!A91</f>
        <v>8.18</v>
      </c>
      <c r="C85" s="151" t="str">
        <f>PO!D91</f>
        <v>ELETRODUTO FLEXÍVEL CORRUGADO, PVC, DN 32 MM (1"), PARA CIRCUITOS TERMINAIS, INSTALADO EM LAJE - FORNECIMENTO E INSTALAÇÃO. AF_12/2015</v>
      </c>
      <c r="D85" s="152">
        <f>PO!J91</f>
        <v>793.99583999999993</v>
      </c>
      <c r="E85" s="153">
        <f t="shared" si="72"/>
        <v>2.192949372572067E-3</v>
      </c>
      <c r="F85" s="154"/>
      <c r="G85" s="155">
        <f t="shared" si="73"/>
        <v>0</v>
      </c>
      <c r="H85" s="156"/>
      <c r="I85" s="157">
        <f t="shared" si="74"/>
        <v>0</v>
      </c>
      <c r="J85" s="154">
        <v>50</v>
      </c>
      <c r="K85" s="155">
        <f t="shared" si="75"/>
        <v>50</v>
      </c>
      <c r="L85" s="154">
        <v>50</v>
      </c>
      <c r="M85" s="157">
        <f t="shared" si="76"/>
        <v>100</v>
      </c>
      <c r="N85" s="154"/>
      <c r="O85" s="155">
        <f t="shared" si="77"/>
        <v>100</v>
      </c>
      <c r="P85" s="156"/>
      <c r="Q85" s="157">
        <f t="shared" si="78"/>
        <v>100</v>
      </c>
    </row>
    <row r="86" spans="1:17" s="89" customFormat="1" ht="28.5" x14ac:dyDescent="0.25">
      <c r="A86" s="342"/>
      <c r="B86" s="150" t="str">
        <f>PO!A92</f>
        <v>8.19</v>
      </c>
      <c r="C86" s="151" t="str">
        <f>PO!D92</f>
        <v>CABO DE COBRE FLEXÍVEL ISOLADO, 1,5 MM², ANTI-CHAMA 450/750 V, PARA CIRCUITOS TERMINAIS - FORNECIMENTO E INSTALAÇÃO. AF_12/2015</v>
      </c>
      <c r="D86" s="152">
        <f>PO!J92</f>
        <v>2073.9456</v>
      </c>
      <c r="E86" s="153">
        <f t="shared" si="72"/>
        <v>5.7280623816223005E-3</v>
      </c>
      <c r="F86" s="154"/>
      <c r="G86" s="155">
        <f t="shared" si="73"/>
        <v>0</v>
      </c>
      <c r="H86" s="156"/>
      <c r="I86" s="157">
        <f t="shared" si="74"/>
        <v>0</v>
      </c>
      <c r="J86" s="154">
        <v>50</v>
      </c>
      <c r="K86" s="155">
        <f t="shared" si="75"/>
        <v>50</v>
      </c>
      <c r="L86" s="154">
        <v>50</v>
      </c>
      <c r="M86" s="157">
        <f t="shared" si="76"/>
        <v>100</v>
      </c>
      <c r="N86" s="154"/>
      <c r="O86" s="155">
        <f t="shared" si="77"/>
        <v>100</v>
      </c>
      <c r="P86" s="156"/>
      <c r="Q86" s="157">
        <f t="shared" si="78"/>
        <v>100</v>
      </c>
    </row>
    <row r="87" spans="1:17" s="89" customFormat="1" ht="28.5" x14ac:dyDescent="0.25">
      <c r="A87" s="342"/>
      <c r="B87" s="150" t="str">
        <f>PO!A93</f>
        <v>8.20</v>
      </c>
      <c r="C87" s="151" t="str">
        <f>PO!D93</f>
        <v>CABO DE COBRE FLEXÍVEL ISOLADO, 2,5 MM², ANTI-CHAMA 450/750 V, PARA CIRCUITOS TERMINAIS - FORNECIMENTO E INSTALAÇÃO. AF_12/2015</v>
      </c>
      <c r="D87" s="152">
        <f>PO!J93</f>
        <v>2938.0895999999998</v>
      </c>
      <c r="E87" s="153">
        <f t="shared" si="72"/>
        <v>8.1147550406315914E-3</v>
      </c>
      <c r="F87" s="154"/>
      <c r="G87" s="155">
        <f t="shared" si="73"/>
        <v>0</v>
      </c>
      <c r="H87" s="156"/>
      <c r="I87" s="157">
        <f t="shared" si="74"/>
        <v>0</v>
      </c>
      <c r="J87" s="154">
        <v>50</v>
      </c>
      <c r="K87" s="155">
        <f t="shared" si="75"/>
        <v>50</v>
      </c>
      <c r="L87" s="154">
        <v>50</v>
      </c>
      <c r="M87" s="157">
        <f t="shared" si="76"/>
        <v>100</v>
      </c>
      <c r="N87" s="154"/>
      <c r="O87" s="155">
        <f t="shared" si="77"/>
        <v>100</v>
      </c>
      <c r="P87" s="156"/>
      <c r="Q87" s="157">
        <f t="shared" si="78"/>
        <v>100</v>
      </c>
    </row>
    <row r="88" spans="1:17" s="89" customFormat="1" ht="28.5" x14ac:dyDescent="0.25">
      <c r="A88" s="342"/>
      <c r="B88" s="150" t="str">
        <f>PO!A94</f>
        <v>8.21</v>
      </c>
      <c r="C88" s="151" t="str">
        <f>PO!D94</f>
        <v>CABO DE COBRE FLEXÍVEL ISOLADO, 4 MM², ANTI-CHAMA 450/750 V, PARA CIRCUITOS TERMINAIS - FORNECIMENTO E INSTALAÇÃO. AF_12/2015</v>
      </c>
      <c r="D88" s="152">
        <f>PO!J94</f>
        <v>564.23519999999996</v>
      </c>
      <c r="E88" s="153">
        <f t="shared" si="72"/>
        <v>1.5583699126472436E-3</v>
      </c>
      <c r="F88" s="154"/>
      <c r="G88" s="155">
        <f t="shared" si="73"/>
        <v>0</v>
      </c>
      <c r="H88" s="156"/>
      <c r="I88" s="157">
        <f t="shared" si="74"/>
        <v>0</v>
      </c>
      <c r="J88" s="154">
        <v>50</v>
      </c>
      <c r="K88" s="155">
        <f t="shared" si="75"/>
        <v>50</v>
      </c>
      <c r="L88" s="154">
        <v>50</v>
      </c>
      <c r="M88" s="157">
        <f t="shared" si="76"/>
        <v>100</v>
      </c>
      <c r="N88" s="154"/>
      <c r="O88" s="155">
        <f t="shared" si="77"/>
        <v>100</v>
      </c>
      <c r="P88" s="156"/>
      <c r="Q88" s="157">
        <f t="shared" si="78"/>
        <v>100</v>
      </c>
    </row>
    <row r="89" spans="1:17" s="89" customFormat="1" ht="28.5" x14ac:dyDescent="0.25">
      <c r="A89" s="342"/>
      <c r="B89" s="150" t="str">
        <f>PO!A95</f>
        <v>8.22</v>
      </c>
      <c r="C89" s="151" t="str">
        <f>PO!D95</f>
        <v>CABO DE COBRE FLEXÍVEL ISOLADO, 6 MM², ANTI-CHAMA 450/750 V, PARA CIRCUITOS TERMINAIS - FORNECIMENTO E INSTALAÇÃO. AF_12/2015</v>
      </c>
      <c r="D89" s="152">
        <f>PO!J95</f>
        <v>1143.72</v>
      </c>
      <c r="E89" s="153">
        <f t="shared" si="72"/>
        <v>3.15885793104171E-3</v>
      </c>
      <c r="F89" s="154"/>
      <c r="G89" s="155">
        <f t="shared" si="73"/>
        <v>0</v>
      </c>
      <c r="H89" s="156"/>
      <c r="I89" s="157">
        <f t="shared" si="74"/>
        <v>0</v>
      </c>
      <c r="J89" s="154">
        <v>50</v>
      </c>
      <c r="K89" s="155">
        <f t="shared" si="75"/>
        <v>50</v>
      </c>
      <c r="L89" s="154">
        <v>50</v>
      </c>
      <c r="M89" s="157">
        <f t="shared" si="76"/>
        <v>100</v>
      </c>
      <c r="N89" s="154"/>
      <c r="O89" s="155">
        <f t="shared" si="77"/>
        <v>100</v>
      </c>
      <c r="P89" s="156"/>
      <c r="Q89" s="157">
        <f t="shared" si="78"/>
        <v>100</v>
      </c>
    </row>
    <row r="90" spans="1:17" s="89" customFormat="1" ht="42.75" x14ac:dyDescent="0.25">
      <c r="A90" s="342"/>
      <c r="B90" s="150" t="str">
        <f>PO!A96</f>
        <v>8.23</v>
      </c>
      <c r="C90" s="151" t="str">
        <f>PO!D96</f>
        <v>QUADRO DE DISTRIBUICAO DE ENERGIA DE EMBUTIR, EM CHAPA METALICA, PARA 40 DISJUNTORES TERMOMAGNETICOS MONOPOLARES, COM BARRAMENTO TRIFASICO E NEUTRO, FORNECIMENTO E INSTALACAO</v>
      </c>
      <c r="D90" s="152">
        <f>PO!J96</f>
        <v>1811.2712399999998</v>
      </c>
      <c r="E90" s="153">
        <f t="shared" si="72"/>
        <v>5.0025780101263873E-3</v>
      </c>
      <c r="F90" s="154"/>
      <c r="G90" s="155">
        <f t="shared" si="73"/>
        <v>0</v>
      </c>
      <c r="H90" s="156"/>
      <c r="I90" s="157">
        <f t="shared" si="74"/>
        <v>0</v>
      </c>
      <c r="J90" s="154">
        <v>50</v>
      </c>
      <c r="K90" s="155">
        <f t="shared" si="75"/>
        <v>50</v>
      </c>
      <c r="L90" s="154">
        <v>50</v>
      </c>
      <c r="M90" s="157">
        <f t="shared" si="76"/>
        <v>100</v>
      </c>
      <c r="N90" s="154"/>
      <c r="O90" s="155">
        <f t="shared" si="77"/>
        <v>100</v>
      </c>
      <c r="P90" s="156"/>
      <c r="Q90" s="157">
        <f t="shared" si="78"/>
        <v>100</v>
      </c>
    </row>
    <row r="91" spans="1:17" s="89" customFormat="1" ht="28.5" x14ac:dyDescent="0.25">
      <c r="A91" s="342"/>
      <c r="B91" s="150" t="str">
        <f>PO!A97</f>
        <v>8.24</v>
      </c>
      <c r="C91" s="151" t="str">
        <f>PO!D97</f>
        <v>DISJUNTOR MONOPOLAR TIPO DIN, CORRENTE NOMINAL DE 10A - FORNECIMENTO E INSTALAÇÃO. AF_04/2016</v>
      </c>
      <c r="D91" s="152">
        <f>PO!J97</f>
        <v>148.734432</v>
      </c>
      <c r="E91" s="153">
        <f t="shared" si="72"/>
        <v>4.1079192472124638E-4</v>
      </c>
      <c r="F91" s="154"/>
      <c r="G91" s="155">
        <f t="shared" si="73"/>
        <v>0</v>
      </c>
      <c r="H91" s="156"/>
      <c r="I91" s="157">
        <f t="shared" si="74"/>
        <v>0</v>
      </c>
      <c r="J91" s="154">
        <v>50</v>
      </c>
      <c r="K91" s="155">
        <f t="shared" si="75"/>
        <v>50</v>
      </c>
      <c r="L91" s="154">
        <v>50</v>
      </c>
      <c r="M91" s="157">
        <f t="shared" si="76"/>
        <v>100</v>
      </c>
      <c r="N91" s="154"/>
      <c r="O91" s="155">
        <f t="shared" si="77"/>
        <v>100</v>
      </c>
      <c r="P91" s="156"/>
      <c r="Q91" s="157">
        <f t="shared" si="78"/>
        <v>100</v>
      </c>
    </row>
    <row r="92" spans="1:17" s="89" customFormat="1" ht="28.5" x14ac:dyDescent="0.25">
      <c r="A92" s="342"/>
      <c r="B92" s="150" t="str">
        <f>PO!A98</f>
        <v>8.25</v>
      </c>
      <c r="C92" s="151" t="str">
        <f>PO!D98</f>
        <v>DISJUNTOR MONOPOLAR TIPO DIN, CORRENTE NOMINAL DE 16A - FORNECIMENTO E INSTALAÇÃO. AF_04/2016</v>
      </c>
      <c r="D92" s="152">
        <f>PO!J98</f>
        <v>186.68052</v>
      </c>
      <c r="E92" s="153">
        <f t="shared" si="72"/>
        <v>5.1559581118891908E-4</v>
      </c>
      <c r="F92" s="154"/>
      <c r="G92" s="155">
        <f t="shared" si="73"/>
        <v>0</v>
      </c>
      <c r="H92" s="156"/>
      <c r="I92" s="157">
        <f t="shared" si="74"/>
        <v>0</v>
      </c>
      <c r="J92" s="154">
        <v>50</v>
      </c>
      <c r="K92" s="155">
        <f t="shared" si="75"/>
        <v>50</v>
      </c>
      <c r="L92" s="154">
        <v>50</v>
      </c>
      <c r="M92" s="157">
        <f t="shared" si="76"/>
        <v>100</v>
      </c>
      <c r="N92" s="154"/>
      <c r="O92" s="155">
        <f t="shared" si="77"/>
        <v>100</v>
      </c>
      <c r="P92" s="156"/>
      <c r="Q92" s="157">
        <f t="shared" si="78"/>
        <v>100</v>
      </c>
    </row>
    <row r="93" spans="1:17" s="89" customFormat="1" ht="28.5" x14ac:dyDescent="0.25">
      <c r="A93" s="342"/>
      <c r="B93" s="150" t="str">
        <f>PO!A99</f>
        <v>8.26</v>
      </c>
      <c r="C93" s="151" t="str">
        <f>PO!D99</f>
        <v>DISJUNTOR MONOPOLAR TIPO DIN, CORRENTE NOMINAL DE 20A - FORNECIMENTO E INSTALAÇÃO. AF_04/2016</v>
      </c>
      <c r="D93" s="152">
        <f>PO!J99</f>
        <v>47.159387999999993</v>
      </c>
      <c r="E93" s="153">
        <f t="shared" si="72"/>
        <v>1.302502420232865E-4</v>
      </c>
      <c r="F93" s="154"/>
      <c r="G93" s="155">
        <f t="shared" si="73"/>
        <v>0</v>
      </c>
      <c r="H93" s="156"/>
      <c r="I93" s="157">
        <f t="shared" si="74"/>
        <v>0</v>
      </c>
      <c r="J93" s="154">
        <v>50</v>
      </c>
      <c r="K93" s="155">
        <f t="shared" si="75"/>
        <v>50</v>
      </c>
      <c r="L93" s="154">
        <v>50</v>
      </c>
      <c r="M93" s="157">
        <f t="shared" si="76"/>
        <v>100</v>
      </c>
      <c r="N93" s="154"/>
      <c r="O93" s="155">
        <f t="shared" si="77"/>
        <v>100</v>
      </c>
      <c r="P93" s="156"/>
      <c r="Q93" s="157">
        <f t="shared" si="78"/>
        <v>100</v>
      </c>
    </row>
    <row r="94" spans="1:17" s="89" customFormat="1" ht="28.5" x14ac:dyDescent="0.25">
      <c r="A94" s="342"/>
      <c r="B94" s="150" t="str">
        <f>PO!A100</f>
        <v>8.27</v>
      </c>
      <c r="C94" s="151" t="str">
        <f>PO!D100</f>
        <v>DISJUNTOR MONOPOLAR TIPO DIN, CORRENTE NOMINAL DE 32A - FORNECIMENTO E INSTALAÇÃO. AF_04/2016</v>
      </c>
      <c r="D94" s="152">
        <f>PO!J100</f>
        <v>69.995663999999991</v>
      </c>
      <c r="E94" s="153">
        <f t="shared" si="72"/>
        <v>1.9332210537975262E-4</v>
      </c>
      <c r="F94" s="154"/>
      <c r="G94" s="155">
        <f t="shared" si="73"/>
        <v>0</v>
      </c>
      <c r="H94" s="156"/>
      <c r="I94" s="157">
        <f t="shared" si="74"/>
        <v>0</v>
      </c>
      <c r="J94" s="154">
        <v>50</v>
      </c>
      <c r="K94" s="155">
        <f t="shared" si="75"/>
        <v>50</v>
      </c>
      <c r="L94" s="154">
        <v>50</v>
      </c>
      <c r="M94" s="157">
        <f t="shared" si="76"/>
        <v>100</v>
      </c>
      <c r="N94" s="154"/>
      <c r="O94" s="155">
        <f t="shared" si="77"/>
        <v>100</v>
      </c>
      <c r="P94" s="156"/>
      <c r="Q94" s="157">
        <f t="shared" si="78"/>
        <v>100</v>
      </c>
    </row>
    <row r="95" spans="1:17" s="89" customFormat="1" ht="15" x14ac:dyDescent="0.25">
      <c r="A95" s="342"/>
      <c r="B95" s="150" t="str">
        <f>PO!A101</f>
        <v>8.28</v>
      </c>
      <c r="C95" s="151" t="str">
        <f>PO!D101</f>
        <v>DPS 275V 40KA CLASSE III</v>
      </c>
      <c r="D95" s="152">
        <f>PO!J101</f>
        <v>282.77841599999999</v>
      </c>
      <c r="E95" s="153">
        <f t="shared" si="72"/>
        <v>7.8101007423933479E-4</v>
      </c>
      <c r="F95" s="154"/>
      <c r="G95" s="155">
        <f t="shared" si="73"/>
        <v>0</v>
      </c>
      <c r="H95" s="156"/>
      <c r="I95" s="157">
        <f t="shared" si="74"/>
        <v>0</v>
      </c>
      <c r="J95" s="154">
        <v>50</v>
      </c>
      <c r="K95" s="155">
        <f t="shared" si="75"/>
        <v>50</v>
      </c>
      <c r="L95" s="154">
        <v>50</v>
      </c>
      <c r="M95" s="157">
        <f t="shared" si="76"/>
        <v>100</v>
      </c>
      <c r="N95" s="154"/>
      <c r="O95" s="155">
        <f t="shared" si="77"/>
        <v>100</v>
      </c>
      <c r="P95" s="156"/>
      <c r="Q95" s="157">
        <f t="shared" si="78"/>
        <v>100</v>
      </c>
    </row>
    <row r="96" spans="1:17" s="89" customFormat="1" ht="15" x14ac:dyDescent="0.25">
      <c r="A96" s="342"/>
      <c r="B96" s="150" t="str">
        <f>PO!A102</f>
        <v>8.29</v>
      </c>
      <c r="C96" s="151" t="str">
        <f>PO!D102</f>
        <v>DR TETRAPOLAR 40A 30mA</v>
      </c>
      <c r="D96" s="152">
        <f>PO!J102</f>
        <v>226.786968</v>
      </c>
      <c r="E96" s="153">
        <f t="shared" si="72"/>
        <v>6.263664293041151E-4</v>
      </c>
      <c r="F96" s="154"/>
      <c r="G96" s="155">
        <f t="shared" si="73"/>
        <v>0</v>
      </c>
      <c r="H96" s="156"/>
      <c r="I96" s="157">
        <f t="shared" si="74"/>
        <v>0</v>
      </c>
      <c r="J96" s="154">
        <v>50</v>
      </c>
      <c r="K96" s="155">
        <f t="shared" si="75"/>
        <v>50</v>
      </c>
      <c r="L96" s="154">
        <v>50</v>
      </c>
      <c r="M96" s="157">
        <f t="shared" si="76"/>
        <v>100</v>
      </c>
      <c r="N96" s="154"/>
      <c r="O96" s="155">
        <f t="shared" si="77"/>
        <v>100</v>
      </c>
      <c r="P96" s="156"/>
      <c r="Q96" s="157">
        <f t="shared" si="78"/>
        <v>100</v>
      </c>
    </row>
    <row r="97" spans="1:17" s="89" customFormat="1" ht="15" x14ac:dyDescent="0.25">
      <c r="A97" s="342"/>
      <c r="B97" s="150" t="str">
        <f>PO!A103</f>
        <v>8.30</v>
      </c>
      <c r="C97" s="151" t="str">
        <f>PO!D103</f>
        <v>DR TETRAPOLAR 25A 30mA</v>
      </c>
      <c r="D97" s="152">
        <f>PO!J103</f>
        <v>120.49725599999998</v>
      </c>
      <c r="E97" s="153">
        <f t="shared" si="72"/>
        <v>3.3280323224597208E-4</v>
      </c>
      <c r="F97" s="154"/>
      <c r="G97" s="155">
        <f t="shared" si="73"/>
        <v>0</v>
      </c>
      <c r="H97" s="156"/>
      <c r="I97" s="157">
        <f t="shared" si="74"/>
        <v>0</v>
      </c>
      <c r="J97" s="154">
        <v>50</v>
      </c>
      <c r="K97" s="155">
        <f t="shared" si="75"/>
        <v>50</v>
      </c>
      <c r="L97" s="154">
        <v>50</v>
      </c>
      <c r="M97" s="157">
        <f t="shared" si="76"/>
        <v>100</v>
      </c>
      <c r="N97" s="154"/>
      <c r="O97" s="155">
        <f t="shared" si="77"/>
        <v>100</v>
      </c>
      <c r="P97" s="156"/>
      <c r="Q97" s="157">
        <f t="shared" si="78"/>
        <v>100</v>
      </c>
    </row>
    <row r="98" spans="1:17" s="89" customFormat="1" ht="15" x14ac:dyDescent="0.25">
      <c r="A98" s="342"/>
      <c r="B98" s="150" t="str">
        <f>PO!A104</f>
        <v>8.31</v>
      </c>
      <c r="C98" s="151" t="str">
        <f>PO!D104</f>
        <v>TOMADA PARA TELEFONE RJ11 - FORNECIMENTO E INSTALAÇÃO. AF_03/2018</v>
      </c>
      <c r="D98" s="152">
        <f>PO!J104</f>
        <v>460.42354799999998</v>
      </c>
      <c r="E98" s="153">
        <f t="shared" si="72"/>
        <v>1.2716509077730243E-3</v>
      </c>
      <c r="F98" s="154"/>
      <c r="G98" s="155">
        <f t="shared" si="73"/>
        <v>0</v>
      </c>
      <c r="H98" s="156"/>
      <c r="I98" s="157">
        <f t="shared" si="74"/>
        <v>0</v>
      </c>
      <c r="J98" s="154">
        <v>50</v>
      </c>
      <c r="K98" s="155">
        <f t="shared" si="75"/>
        <v>50</v>
      </c>
      <c r="L98" s="154">
        <v>50</v>
      </c>
      <c r="M98" s="157">
        <f t="shared" si="76"/>
        <v>100</v>
      </c>
      <c r="N98" s="154"/>
      <c r="O98" s="155">
        <f t="shared" si="77"/>
        <v>100</v>
      </c>
      <c r="P98" s="156"/>
      <c r="Q98" s="157">
        <f t="shared" si="78"/>
        <v>100</v>
      </c>
    </row>
    <row r="99" spans="1:17" s="89" customFormat="1" ht="15.75" thickBot="1" x14ac:dyDescent="0.3">
      <c r="A99" s="342"/>
      <c r="B99" s="150" t="str">
        <f>PO!A105</f>
        <v>8.32</v>
      </c>
      <c r="C99" s="151" t="str">
        <f>PO!D105</f>
        <v>TOMADA DE REDE RJ45 - FORNECIMENTO E INSTALAÇÃO. AF_03/2018</v>
      </c>
      <c r="D99" s="152">
        <f>PO!J105</f>
        <v>837.50803199999996</v>
      </c>
      <c r="E99" s="153">
        <f t="shared" si="72"/>
        <v>2.313126367637476E-3</v>
      </c>
      <c r="F99" s="154"/>
      <c r="G99" s="155">
        <f t="shared" si="73"/>
        <v>0</v>
      </c>
      <c r="H99" s="156"/>
      <c r="I99" s="157">
        <f t="shared" si="74"/>
        <v>0</v>
      </c>
      <c r="J99" s="154">
        <v>50</v>
      </c>
      <c r="K99" s="155">
        <f t="shared" si="75"/>
        <v>50</v>
      </c>
      <c r="L99" s="154">
        <v>50</v>
      </c>
      <c r="M99" s="157">
        <f t="shared" si="76"/>
        <v>100</v>
      </c>
      <c r="N99" s="154"/>
      <c r="O99" s="155">
        <f t="shared" si="77"/>
        <v>100</v>
      </c>
      <c r="P99" s="156"/>
      <c r="Q99" s="157">
        <f t="shared" si="78"/>
        <v>100</v>
      </c>
    </row>
    <row r="100" spans="1:17" s="89" customFormat="1" ht="15" x14ac:dyDescent="0.25">
      <c r="A100" s="341">
        <v>9</v>
      </c>
      <c r="B100" s="142">
        <f>PO!A106</f>
        <v>9</v>
      </c>
      <c r="C100" s="143" t="str">
        <f>PO!D106</f>
        <v>AR CONDICIONADO</v>
      </c>
      <c r="D100" s="144">
        <f>PO!J106</f>
        <v>3367.62</v>
      </c>
      <c r="E100" s="145">
        <f t="shared" si="72"/>
        <v>9.3010816858450345E-3</v>
      </c>
      <c r="F100" s="146"/>
      <c r="G100" s="147"/>
      <c r="H100" s="148"/>
      <c r="I100" s="149"/>
      <c r="J100" s="146"/>
      <c r="K100" s="147"/>
      <c r="L100" s="146"/>
      <c r="M100" s="147"/>
      <c r="N100" s="146"/>
      <c r="O100" s="147"/>
      <c r="P100" s="148"/>
      <c r="Q100" s="149"/>
    </row>
    <row r="101" spans="1:17" s="89" customFormat="1" ht="15" x14ac:dyDescent="0.25">
      <c r="A101" s="342"/>
      <c r="B101" s="158" t="str">
        <f>PO!A107</f>
        <v>9.1</v>
      </c>
      <c r="C101" s="159" t="str">
        <f>PO!D107</f>
        <v>INSTALAÇÃO DE AR-CONDICIONADO FRIO SPLIT HI-WALL (PAREDE) 9000 BTU/H</v>
      </c>
      <c r="D101" s="152">
        <f>PO!J107</f>
        <v>1779.12</v>
      </c>
      <c r="E101" s="161">
        <f t="shared" ref="E101:E102" si="79">D101/$D$135</f>
        <v>4.9137790038426598E-3</v>
      </c>
      <c r="F101" s="162"/>
      <c r="G101" s="163">
        <f t="shared" si="73"/>
        <v>0</v>
      </c>
      <c r="H101" s="164"/>
      <c r="I101" s="165">
        <f t="shared" si="74"/>
        <v>0</v>
      </c>
      <c r="J101" s="162"/>
      <c r="K101" s="163">
        <f t="shared" si="75"/>
        <v>0</v>
      </c>
      <c r="L101" s="164"/>
      <c r="M101" s="165">
        <f t="shared" si="76"/>
        <v>0</v>
      </c>
      <c r="N101" s="162">
        <v>100</v>
      </c>
      <c r="O101" s="163">
        <f t="shared" si="77"/>
        <v>100</v>
      </c>
      <c r="P101" s="164"/>
      <c r="Q101" s="165">
        <f t="shared" si="78"/>
        <v>100</v>
      </c>
    </row>
    <row r="102" spans="1:17" s="89" customFormat="1" ht="15" x14ac:dyDescent="0.25">
      <c r="A102" s="342"/>
      <c r="B102" s="158" t="str">
        <f>PO!A108</f>
        <v>9.2</v>
      </c>
      <c r="C102" s="159" t="str">
        <f>PO!D108</f>
        <v>INSTALAÇÃO DE AR-CONDICIONADO FRIO SPLIT HI-WALL (PAREDE) 1200 BTU/H</v>
      </c>
      <c r="D102" s="152">
        <f>PO!J108</f>
        <v>444.78</v>
      </c>
      <c r="E102" s="161">
        <f t="shared" si="79"/>
        <v>1.2284447509606649E-3</v>
      </c>
      <c r="F102" s="162"/>
      <c r="G102" s="163">
        <f t="shared" si="73"/>
        <v>0</v>
      </c>
      <c r="H102" s="164"/>
      <c r="I102" s="165">
        <f t="shared" si="74"/>
        <v>0</v>
      </c>
      <c r="J102" s="162"/>
      <c r="K102" s="163">
        <f t="shared" si="75"/>
        <v>0</v>
      </c>
      <c r="L102" s="164"/>
      <c r="M102" s="165">
        <f t="shared" si="76"/>
        <v>0</v>
      </c>
      <c r="N102" s="162">
        <v>100</v>
      </c>
      <c r="O102" s="163">
        <f t="shared" si="77"/>
        <v>100</v>
      </c>
      <c r="P102" s="164"/>
      <c r="Q102" s="165">
        <f t="shared" si="78"/>
        <v>100</v>
      </c>
    </row>
    <row r="103" spans="1:17" s="89" customFormat="1" ht="15.75" thickBot="1" x14ac:dyDescent="0.3">
      <c r="A103" s="342"/>
      <c r="B103" s="158" t="str">
        <f>PO!A109</f>
        <v>9.3</v>
      </c>
      <c r="C103" s="159" t="str">
        <f>PO!D109</f>
        <v>INSTALAÇÃO DE AR-CONDICIONADO FRIO SPLIT HI-WALL (PAREDE) 18000 BTU/H</v>
      </c>
      <c r="D103" s="152">
        <f>PO!J109</f>
        <v>1143.72</v>
      </c>
      <c r="E103" s="161">
        <f t="shared" ref="E103:E123" si="80">D103/$D$135</f>
        <v>3.15885793104171E-3</v>
      </c>
      <c r="F103" s="162"/>
      <c r="G103" s="163">
        <f t="shared" ref="G103" si="81">F103</f>
        <v>0</v>
      </c>
      <c r="H103" s="164"/>
      <c r="I103" s="165">
        <f t="shared" ref="I103" si="82">G103+H103</f>
        <v>0</v>
      </c>
      <c r="J103" s="162"/>
      <c r="K103" s="163">
        <f t="shared" ref="K103" si="83">I103+J103</f>
        <v>0</v>
      </c>
      <c r="L103" s="164"/>
      <c r="M103" s="165">
        <f t="shared" ref="M103" si="84">K103+L103</f>
        <v>0</v>
      </c>
      <c r="N103" s="162">
        <v>100</v>
      </c>
      <c r="O103" s="163">
        <f t="shared" ref="O103" si="85">M103+N103</f>
        <v>100</v>
      </c>
      <c r="P103" s="164"/>
      <c r="Q103" s="165">
        <f t="shared" ref="Q103" si="86">O103+P103</f>
        <v>100</v>
      </c>
    </row>
    <row r="104" spans="1:17" s="89" customFormat="1" ht="15" x14ac:dyDescent="0.25">
      <c r="A104" s="341">
        <v>10</v>
      </c>
      <c r="B104" s="174">
        <f>PO!A110</f>
        <v>10</v>
      </c>
      <c r="C104" s="143" t="str">
        <f>PO!D110</f>
        <v>ESQUADRIAS E MADEIRAS</v>
      </c>
      <c r="D104" s="144">
        <f>PO!J110</f>
        <v>39155.444820000004</v>
      </c>
      <c r="E104" s="145">
        <f t="shared" si="80"/>
        <v>0.10814402774553479</v>
      </c>
      <c r="F104" s="146"/>
      <c r="G104" s="147"/>
      <c r="H104" s="148"/>
      <c r="I104" s="149"/>
      <c r="J104" s="146"/>
      <c r="K104" s="147"/>
      <c r="L104" s="148"/>
      <c r="M104" s="149"/>
      <c r="N104" s="146"/>
      <c r="O104" s="147"/>
      <c r="P104" s="148"/>
      <c r="Q104" s="149"/>
    </row>
    <row r="105" spans="1:17" s="89" customFormat="1" ht="15" x14ac:dyDescent="0.25">
      <c r="A105" s="342"/>
      <c r="B105" s="150" t="str">
        <f>PO!A111</f>
        <v>10.1</v>
      </c>
      <c r="C105" s="151" t="str">
        <f>PO!D111</f>
        <v>ESQUADRIAS DE ALUMÍNIO</v>
      </c>
      <c r="D105" s="152">
        <f>PO!J111</f>
        <v>20209.5324</v>
      </c>
      <c r="E105" s="153">
        <f t="shared" si="80"/>
        <v>5.5817019641507017E-2</v>
      </c>
      <c r="F105" s="154"/>
      <c r="G105" s="155">
        <f t="shared" ref="G105" si="87">F105</f>
        <v>0</v>
      </c>
      <c r="H105" s="156">
        <v>10</v>
      </c>
      <c r="I105" s="157">
        <f t="shared" ref="I105" si="88">G105+H105</f>
        <v>10</v>
      </c>
      <c r="J105" s="154"/>
      <c r="K105" s="155">
        <f t="shared" ref="K105" si="89">I105+J105</f>
        <v>10</v>
      </c>
      <c r="L105" s="156">
        <v>90</v>
      </c>
      <c r="M105" s="157">
        <f t="shared" ref="M105" si="90">K105+L105</f>
        <v>100</v>
      </c>
      <c r="N105" s="154"/>
      <c r="O105" s="155">
        <f t="shared" si="45"/>
        <v>100</v>
      </c>
      <c r="P105" s="156"/>
      <c r="Q105" s="157">
        <f t="shared" si="46"/>
        <v>100</v>
      </c>
    </row>
    <row r="106" spans="1:17" s="89" customFormat="1" ht="57" x14ac:dyDescent="0.25">
      <c r="A106" s="342"/>
      <c r="B106" s="150" t="str">
        <f>PO!A112</f>
        <v>10.2</v>
      </c>
      <c r="C106" s="151" t="str">
        <f>PO!D112</f>
        <v>KIT DE PORTA DE MADEIRA PARA PINTURA, SEMI-OCA (LEVE OU MÉDIA), PADRÃO MÉDIO, 70X210CM, ESPESSURA DE 3,5CM, ITENS INCLUSOS: DOBRADIÇAS, MONTAGEM E INSTALAÇÃO DO BATENTE, FECHADURA COM EXECUÇÃO DO FURO - FORNECIMENTO E INSTALAÇÃO. AF_08/2015</v>
      </c>
      <c r="D106" s="152">
        <f>PO!J112</f>
        <v>4583.8391399999991</v>
      </c>
      <c r="E106" s="153">
        <f t="shared" si="80"/>
        <v>1.2660176111293331E-2</v>
      </c>
      <c r="F106" s="154"/>
      <c r="G106" s="155">
        <f t="shared" ref="G106" si="91">F106</f>
        <v>0</v>
      </c>
      <c r="H106" s="156"/>
      <c r="I106" s="157">
        <f t="shared" ref="I106:I107" si="92">G106+H106</f>
        <v>0</v>
      </c>
      <c r="J106" s="154"/>
      <c r="K106" s="155">
        <f t="shared" ref="K106:K107" si="93">I106+J106</f>
        <v>0</v>
      </c>
      <c r="L106" s="156">
        <v>100</v>
      </c>
      <c r="M106" s="157">
        <f t="shared" ref="M106:M107" si="94">K106+L106</f>
        <v>100</v>
      </c>
      <c r="N106" s="154"/>
      <c r="O106" s="155">
        <f t="shared" ref="O106:O107" si="95">M106+N106</f>
        <v>100</v>
      </c>
      <c r="P106" s="156"/>
      <c r="Q106" s="157">
        <f t="shared" ref="Q106:Q107" si="96">O106+P106</f>
        <v>100</v>
      </c>
    </row>
    <row r="107" spans="1:17" s="89" customFormat="1" ht="57.75" thickBot="1" x14ac:dyDescent="0.3">
      <c r="A107" s="343"/>
      <c r="B107" s="166" t="str">
        <f>PO!A113</f>
        <v>10.3</v>
      </c>
      <c r="C107" s="167" t="str">
        <f>PO!D113</f>
        <v xml:space="preserve"> KIT DE PORTA DE MADEIRA PARA PINTURA, SEMI-OCA (LEVE OU MÉDIA), PADRÃO MÉDIO, 80X210CM, ESPESSURA DE 3,5CM, ITENS INCLUSOS: DOBRADIÇAS, MONTAGEM E INSTALAÇÃO DO BATENTE, FECHADURA COM EXECUÇÃO DO FURO - FORNECIMENTO E INSTALAÇÃO. AF_08/2015</v>
      </c>
      <c r="D107" s="168">
        <f>PO!J113</f>
        <v>14362.073280000001</v>
      </c>
      <c r="E107" s="169">
        <f t="shared" si="80"/>
        <v>3.9666831992734436E-2</v>
      </c>
      <c r="F107" s="170"/>
      <c r="G107" s="171">
        <f>F107</f>
        <v>0</v>
      </c>
      <c r="H107" s="172"/>
      <c r="I107" s="173">
        <f t="shared" si="92"/>
        <v>0</v>
      </c>
      <c r="J107" s="170"/>
      <c r="K107" s="171">
        <f t="shared" si="93"/>
        <v>0</v>
      </c>
      <c r="L107" s="172">
        <v>100</v>
      </c>
      <c r="M107" s="173">
        <f t="shared" si="94"/>
        <v>100</v>
      </c>
      <c r="N107" s="170"/>
      <c r="O107" s="171">
        <f t="shared" si="95"/>
        <v>100</v>
      </c>
      <c r="P107" s="172"/>
      <c r="Q107" s="173">
        <f t="shared" si="96"/>
        <v>100</v>
      </c>
    </row>
    <row r="108" spans="1:17" s="89" customFormat="1" ht="15" x14ac:dyDescent="0.25">
      <c r="A108" s="341">
        <v>11</v>
      </c>
      <c r="B108" s="174">
        <f>PO!A114</f>
        <v>11</v>
      </c>
      <c r="C108" s="143" t="str">
        <f>PO!D114</f>
        <v>REVESTIMENTOS</v>
      </c>
      <c r="D108" s="144">
        <f>PO!J114</f>
        <v>22520.838023999997</v>
      </c>
      <c r="E108" s="145">
        <f t="shared" si="80"/>
        <v>6.2200650339084833E-2</v>
      </c>
      <c r="F108" s="146"/>
      <c r="G108" s="147"/>
      <c r="H108" s="148"/>
      <c r="I108" s="149"/>
      <c r="J108" s="146"/>
      <c r="K108" s="147"/>
      <c r="L108" s="148"/>
      <c r="M108" s="149"/>
      <c r="N108" s="146"/>
      <c r="O108" s="147"/>
      <c r="P108" s="148"/>
      <c r="Q108" s="149"/>
    </row>
    <row r="109" spans="1:17" s="89" customFormat="1" ht="57" x14ac:dyDescent="0.25">
      <c r="A109" s="342"/>
      <c r="B109" s="150" t="str">
        <f>PO!A115</f>
        <v>11.1</v>
      </c>
      <c r="C109" s="151" t="str">
        <f>PO!D115</f>
        <v>EMBOÇO, PARA RECEBIMENTO DE CERÂMICA, EM ARGAMASSA TRAÇO 1:2:8, PREPAR O MECÂNICO COM BETONEIRA 400L, APLICADO MANUALMENTE EM FACES INTERNAS DE PAREDES, PARA AMBIENTE COM ÁREA MAIOR QUE 10M2, ESPESSURA DE 10MM, COM EXECUÇÃO DE TALISCAS. AF_06/2014</v>
      </c>
      <c r="D109" s="152">
        <f>PO!J115</f>
        <v>4783.7230178399996</v>
      </c>
      <c r="E109" s="153">
        <f t="shared" si="80"/>
        <v>1.3212238480406625E-2</v>
      </c>
      <c r="F109" s="154"/>
      <c r="G109" s="155">
        <f t="shared" ref="G109:G110" si="97">F109</f>
        <v>0</v>
      </c>
      <c r="H109" s="156"/>
      <c r="I109" s="157">
        <f t="shared" ref="I109:I110" si="98">G109+H109</f>
        <v>0</v>
      </c>
      <c r="J109" s="154">
        <v>20</v>
      </c>
      <c r="K109" s="155">
        <f t="shared" ref="K109:K110" si="99">I109+J109</f>
        <v>20</v>
      </c>
      <c r="L109" s="156">
        <v>60</v>
      </c>
      <c r="M109" s="157">
        <f t="shared" ref="M109:M110" si="100">K109+L109</f>
        <v>80</v>
      </c>
      <c r="N109" s="154">
        <v>20</v>
      </c>
      <c r="O109" s="155">
        <f t="shared" ref="O109:O110" si="101">M109+N109</f>
        <v>100</v>
      </c>
      <c r="P109" s="156"/>
      <c r="Q109" s="157">
        <f t="shared" ref="Q109:Q110" si="102">O109+P109</f>
        <v>100</v>
      </c>
    </row>
    <row r="110" spans="1:17" s="89" customFormat="1" ht="42.75" x14ac:dyDescent="0.25">
      <c r="A110" s="342"/>
      <c r="B110" s="150" t="str">
        <f>PO!A116</f>
        <v>11.2</v>
      </c>
      <c r="C110" s="151" t="str">
        <f>PO!D116</f>
        <v>REVESTIMENTO CERÂMICO PARA PISO COM PLACAS TIPO ESMALTADA EXTRA DE DIMENSÕES 60X60 CM APLICADA EM AMBIENTES DE ÁREA MAIOR QUE 10 M2. AF_06/2014</v>
      </c>
      <c r="D110" s="152">
        <f>PO!J116</f>
        <v>13187.637281519997</v>
      </c>
      <c r="E110" s="153">
        <f t="shared" si="80"/>
        <v>3.6423139071128229E-2</v>
      </c>
      <c r="F110" s="154"/>
      <c r="G110" s="155">
        <f t="shared" si="97"/>
        <v>0</v>
      </c>
      <c r="H110" s="156"/>
      <c r="I110" s="157">
        <f t="shared" si="98"/>
        <v>0</v>
      </c>
      <c r="J110" s="154">
        <v>20</v>
      </c>
      <c r="K110" s="155">
        <f t="shared" si="99"/>
        <v>20</v>
      </c>
      <c r="L110" s="156">
        <v>60</v>
      </c>
      <c r="M110" s="157">
        <f t="shared" si="100"/>
        <v>80</v>
      </c>
      <c r="N110" s="154">
        <v>20</v>
      </c>
      <c r="O110" s="155">
        <f t="shared" si="101"/>
        <v>100</v>
      </c>
      <c r="P110" s="156"/>
      <c r="Q110" s="157">
        <f t="shared" si="102"/>
        <v>100</v>
      </c>
    </row>
    <row r="111" spans="1:17" s="89" customFormat="1" ht="57" x14ac:dyDescent="0.25">
      <c r="A111" s="342"/>
      <c r="B111" s="150" t="str">
        <f>PO!A117</f>
        <v>11.3</v>
      </c>
      <c r="C111" s="151" t="str">
        <f>PO!D117</f>
        <v>REVESTIMENTO CERÂMICO PARA PAREDES INTERNAS COM PLACAS TIPO ESMALTADA PADRÃO POPULAR DE DIMENSÕES 20X20 CM APLICADAS EM AMBIENTES DE ÁREA MAIOR QUE 5 M2 NA ALTURA INTEIRA DAS PAREDES. AF_06/2014</v>
      </c>
      <c r="D111" s="152">
        <f>PO!J117</f>
        <v>4339.0334987999995</v>
      </c>
      <c r="E111" s="153">
        <f t="shared" si="80"/>
        <v>1.1984043630206727E-2</v>
      </c>
      <c r="F111" s="154"/>
      <c r="G111" s="155">
        <f>F111</f>
        <v>0</v>
      </c>
      <c r="H111" s="156"/>
      <c r="I111" s="157">
        <f>G111+H111</f>
        <v>0</v>
      </c>
      <c r="J111" s="154">
        <v>20</v>
      </c>
      <c r="K111" s="155">
        <f t="shared" ref="K111:K112" si="103">I111+J111</f>
        <v>20</v>
      </c>
      <c r="L111" s="156">
        <v>60</v>
      </c>
      <c r="M111" s="157">
        <f t="shared" ref="M111:M112" si="104">K111+L111</f>
        <v>80</v>
      </c>
      <c r="N111" s="154">
        <v>20</v>
      </c>
      <c r="O111" s="155">
        <f t="shared" ref="O111:O112" si="105">M111+N111</f>
        <v>100</v>
      </c>
      <c r="P111" s="156"/>
      <c r="Q111" s="157">
        <f t="shared" ref="Q111:Q112" si="106">O111+P111</f>
        <v>100</v>
      </c>
    </row>
    <row r="112" spans="1:17" s="89" customFormat="1" ht="15.75" thickBot="1" x14ac:dyDescent="0.3">
      <c r="A112" s="343"/>
      <c r="B112" s="166" t="str">
        <f>PO!A118</f>
        <v>11.4</v>
      </c>
      <c r="C112" s="167" t="str">
        <f>PO!D118</f>
        <v>REJUNTE BRANCO, CIMENTICIO</v>
      </c>
      <c r="D112" s="168">
        <f>PO!J118</f>
        <v>210.44422584</v>
      </c>
      <c r="E112" s="169">
        <f t="shared" si="80"/>
        <v>5.8122915734324548E-4</v>
      </c>
      <c r="F112" s="170"/>
      <c r="G112" s="171">
        <f t="shared" ref="G112" si="107">F112</f>
        <v>0</v>
      </c>
      <c r="H112" s="172"/>
      <c r="I112" s="173">
        <f t="shared" ref="I112" si="108">G112+H112</f>
        <v>0</v>
      </c>
      <c r="J112" s="170">
        <v>20</v>
      </c>
      <c r="K112" s="171">
        <f t="shared" si="103"/>
        <v>20</v>
      </c>
      <c r="L112" s="172">
        <v>60</v>
      </c>
      <c r="M112" s="173">
        <f t="shared" si="104"/>
        <v>80</v>
      </c>
      <c r="N112" s="170">
        <v>20</v>
      </c>
      <c r="O112" s="171">
        <f t="shared" si="105"/>
        <v>100</v>
      </c>
      <c r="P112" s="172"/>
      <c r="Q112" s="173">
        <f t="shared" si="106"/>
        <v>100</v>
      </c>
    </row>
    <row r="113" spans="1:17" s="89" customFormat="1" ht="15" x14ac:dyDescent="0.25">
      <c r="A113" s="341">
        <v>12</v>
      </c>
      <c r="B113" s="174">
        <f>PO!A119</f>
        <v>12</v>
      </c>
      <c r="C113" s="143" t="str">
        <f>PO!D119</f>
        <v>LOUÇAS, METAIS E ACESSÓRIOS</v>
      </c>
      <c r="D113" s="144">
        <f>PO!J119</f>
        <v>11463.264107999998</v>
      </c>
      <c r="E113" s="145">
        <f t="shared" si="80"/>
        <v>3.1660566172823389E-2</v>
      </c>
      <c r="F113" s="146"/>
      <c r="G113" s="147"/>
      <c r="H113" s="148"/>
      <c r="I113" s="149"/>
      <c r="J113" s="146"/>
      <c r="K113" s="147"/>
      <c r="L113" s="148"/>
      <c r="M113" s="149"/>
      <c r="N113" s="146"/>
      <c r="O113" s="147"/>
      <c r="P113" s="148"/>
      <c r="Q113" s="149"/>
    </row>
    <row r="114" spans="1:17" s="89" customFormat="1" ht="42.75" x14ac:dyDescent="0.25">
      <c r="A114" s="342"/>
      <c r="B114" s="150" t="str">
        <f>PO!A120</f>
        <v>12.1</v>
      </c>
      <c r="C114" s="151" t="str">
        <f>PO!D120</f>
        <v>VASO SANITÁRIO SIFONADO COM CAIXA ACOPLADA LOUÇA BRANCA, INCLUSO ENGATE FLEXÍVEL EM PLÁSTICO BRANCO, 1/2 X 40CM - FORNECIMENTO E INSTALAÇÃO. AF_12/2013</v>
      </c>
      <c r="D114" s="152">
        <f>PO!J120</f>
        <v>2472.0364079999999</v>
      </c>
      <c r="E114" s="153">
        <f t="shared" si="80"/>
        <v>6.827555532153552E-3</v>
      </c>
      <c r="F114" s="154"/>
      <c r="G114" s="155">
        <f t="shared" ref="G114" si="109">F114</f>
        <v>0</v>
      </c>
      <c r="H114" s="156"/>
      <c r="I114" s="157">
        <f t="shared" ref="I114" si="110">G114+H114</f>
        <v>0</v>
      </c>
      <c r="J114" s="154"/>
      <c r="K114" s="155">
        <f t="shared" ref="K114" si="111">I114+J114</f>
        <v>0</v>
      </c>
      <c r="L114" s="156"/>
      <c r="M114" s="157">
        <f t="shared" ref="M114" si="112">K114+L114</f>
        <v>0</v>
      </c>
      <c r="N114" s="154"/>
      <c r="O114" s="155">
        <f t="shared" ref="O114" si="113">M114+N114</f>
        <v>0</v>
      </c>
      <c r="P114" s="156">
        <v>100</v>
      </c>
      <c r="Q114" s="157">
        <f t="shared" ref="Q114" si="114">O114+P114</f>
        <v>100</v>
      </c>
    </row>
    <row r="115" spans="1:17" s="89" customFormat="1" ht="71.25" x14ac:dyDescent="0.25">
      <c r="A115" s="342"/>
      <c r="B115" s="150" t="str">
        <f>PO!A121</f>
        <v>12.2</v>
      </c>
      <c r="C115" s="151" t="str">
        <f>PO!D121</f>
        <v>KIT CHUVEIRO PARA INSTALACAO PEX, QUADRO METALICO COM 2 TRAVESSAS, SUPERIOR COM ESPERA PARA CHUVEIRO E INFERIOR COM 2 REGISTROS DE PRESSAO DE 1/2 ",LARGURA DE *390* MM X ALTURA DE *900* MM, PARA CONEXAO COM ANEL DESLIZANTE (INCLUI REGISTROS PRESSAO E TUBOS PEX COM CONEXOES, SEM REGISTRO GAVETA, NAO INCLUI CARENAGEM)</v>
      </c>
      <c r="D115" s="152">
        <f>PO!J121</f>
        <v>836.8980479999999</v>
      </c>
      <c r="E115" s="153">
        <f t="shared" si="80"/>
        <v>2.3114416434075868E-3</v>
      </c>
      <c r="F115" s="154"/>
      <c r="G115" s="155">
        <f t="shared" ref="G115:G119" si="115">F115</f>
        <v>0</v>
      </c>
      <c r="H115" s="156"/>
      <c r="I115" s="157">
        <f t="shared" ref="I115:I119" si="116">G115+H115</f>
        <v>0</v>
      </c>
      <c r="J115" s="154"/>
      <c r="K115" s="155">
        <f t="shared" ref="K115:K119" si="117">I115+J115</f>
        <v>0</v>
      </c>
      <c r="L115" s="156"/>
      <c r="M115" s="157">
        <f t="shared" ref="M115:M119" si="118">K115+L115</f>
        <v>0</v>
      </c>
      <c r="N115" s="154"/>
      <c r="O115" s="155">
        <f t="shared" ref="O115:O119" si="119">M115+N115</f>
        <v>0</v>
      </c>
      <c r="P115" s="156">
        <v>100</v>
      </c>
      <c r="Q115" s="157">
        <f t="shared" ref="Q115:Q119" si="120">O115+P115</f>
        <v>100</v>
      </c>
    </row>
    <row r="116" spans="1:17" s="89" customFormat="1" ht="28.5" x14ac:dyDescent="0.25">
      <c r="A116" s="342"/>
      <c r="B116" s="150" t="str">
        <f>PO!A122</f>
        <v>12.3</v>
      </c>
      <c r="C116" s="151" t="str">
        <f>PO!D122</f>
        <v>LAVATÓRIO LOUÇA BRANCA COM COLUNA, *44 X 35,5* CM, PADRÃO POPULAR - FORNECIMENTO E INSTALAÇÃO. AF_12/2013</v>
      </c>
      <c r="D116" s="152">
        <f>PO!J122</f>
        <v>1103.9439600000001</v>
      </c>
      <c r="E116" s="153">
        <f t="shared" si="80"/>
        <v>3.0489998718843708E-3</v>
      </c>
      <c r="F116" s="154"/>
      <c r="G116" s="155">
        <f t="shared" si="115"/>
        <v>0</v>
      </c>
      <c r="H116" s="156"/>
      <c r="I116" s="157">
        <f t="shared" si="116"/>
        <v>0</v>
      </c>
      <c r="J116" s="154"/>
      <c r="K116" s="155">
        <f t="shared" si="117"/>
        <v>0</v>
      </c>
      <c r="L116" s="156"/>
      <c r="M116" s="157">
        <f t="shared" si="118"/>
        <v>0</v>
      </c>
      <c r="N116" s="154"/>
      <c r="O116" s="155">
        <f t="shared" si="119"/>
        <v>0</v>
      </c>
      <c r="P116" s="156">
        <v>100</v>
      </c>
      <c r="Q116" s="157">
        <f t="shared" si="120"/>
        <v>100</v>
      </c>
    </row>
    <row r="117" spans="1:17" s="89" customFormat="1" ht="28.5" x14ac:dyDescent="0.25">
      <c r="A117" s="342"/>
      <c r="B117" s="150" t="str">
        <f>PO!A123</f>
        <v>12.4</v>
      </c>
      <c r="C117" s="151" t="str">
        <f>PO!D123</f>
        <v>TORNEIRA CROMADA DE MESA, 1/2" OU 3/4", PARA LAVATÓRIO, PADRÃO POPULAR- FORNECIMENTO E INSTALAÇÃO. AF_12/2013</v>
      </c>
      <c r="D117" s="152">
        <f>PO!J123</f>
        <v>343.56077999999997</v>
      </c>
      <c r="E117" s="153">
        <f t="shared" si="80"/>
        <v>9.488858240634735E-4</v>
      </c>
      <c r="F117" s="154"/>
      <c r="G117" s="155">
        <f t="shared" si="115"/>
        <v>0</v>
      </c>
      <c r="H117" s="156"/>
      <c r="I117" s="157">
        <f t="shared" si="116"/>
        <v>0</v>
      </c>
      <c r="J117" s="154"/>
      <c r="K117" s="155">
        <f t="shared" si="117"/>
        <v>0</v>
      </c>
      <c r="L117" s="156"/>
      <c r="M117" s="157">
        <f t="shared" si="118"/>
        <v>0</v>
      </c>
      <c r="N117" s="154"/>
      <c r="O117" s="155">
        <f t="shared" si="119"/>
        <v>0</v>
      </c>
      <c r="P117" s="156">
        <v>100</v>
      </c>
      <c r="Q117" s="157">
        <f t="shared" si="120"/>
        <v>100</v>
      </c>
    </row>
    <row r="118" spans="1:17" s="89" customFormat="1" ht="42.75" x14ac:dyDescent="0.25">
      <c r="A118" s="342"/>
      <c r="B118" s="150" t="str">
        <f>PO!A124</f>
        <v>12.5</v>
      </c>
      <c r="C118" s="151" t="str">
        <f>PO!D124</f>
        <v>TORNEIRA CROMADA TUBO MÓVEL, DE MESA, 1/2" OU 3/4", PARA PIA DE COZINH UN CR 106,67
A, PADRÃO ALTO - FORNECIMENTO E INSTALAÇÃO. AF_12/2013</v>
      </c>
      <c r="D118" s="152">
        <f>PO!J124</f>
        <v>137.33535599999999</v>
      </c>
      <c r="E118" s="153">
        <f t="shared" si="80"/>
        <v>3.7930864067519732E-4</v>
      </c>
      <c r="F118" s="154"/>
      <c r="G118" s="155">
        <f t="shared" si="115"/>
        <v>0</v>
      </c>
      <c r="H118" s="156"/>
      <c r="I118" s="157">
        <f t="shared" si="116"/>
        <v>0</v>
      </c>
      <c r="J118" s="154"/>
      <c r="K118" s="155">
        <f t="shared" si="117"/>
        <v>0</v>
      </c>
      <c r="L118" s="156"/>
      <c r="M118" s="157">
        <f t="shared" si="118"/>
        <v>0</v>
      </c>
      <c r="N118" s="154"/>
      <c r="O118" s="155">
        <f t="shared" si="119"/>
        <v>0</v>
      </c>
      <c r="P118" s="156">
        <v>100</v>
      </c>
      <c r="Q118" s="157">
        <f t="shared" si="120"/>
        <v>100</v>
      </c>
    </row>
    <row r="119" spans="1:17" s="89" customFormat="1" ht="43.5" thickBot="1" x14ac:dyDescent="0.3">
      <c r="A119" s="343"/>
      <c r="B119" s="166" t="str">
        <f>PO!A125</f>
        <v>12.6</v>
      </c>
      <c r="C119" s="167" t="str">
        <f>PO!D125</f>
        <v>KIT DE ACESSORIOS PARA BANHEIRO EM METAL CROMADO, 5 PECAS, INCLUSO FIX UN CR 89,37
AÇÃO. AF_10/2016</v>
      </c>
      <c r="D119" s="168">
        <f>PO!J125</f>
        <v>612.7797599999999</v>
      </c>
      <c r="E119" s="169">
        <f t="shared" si="80"/>
        <v>1.6924458826092358E-3</v>
      </c>
      <c r="F119" s="170"/>
      <c r="G119" s="171">
        <f t="shared" si="115"/>
        <v>0</v>
      </c>
      <c r="H119" s="172"/>
      <c r="I119" s="173">
        <f t="shared" si="116"/>
        <v>0</v>
      </c>
      <c r="J119" s="170"/>
      <c r="K119" s="171">
        <f t="shared" si="117"/>
        <v>0</v>
      </c>
      <c r="L119" s="172"/>
      <c r="M119" s="173">
        <f t="shared" si="118"/>
        <v>0</v>
      </c>
      <c r="N119" s="170"/>
      <c r="O119" s="171">
        <f t="shared" si="119"/>
        <v>0</v>
      </c>
      <c r="P119" s="172">
        <v>100</v>
      </c>
      <c r="Q119" s="173">
        <f t="shared" si="120"/>
        <v>100</v>
      </c>
    </row>
    <row r="120" spans="1:17" s="89" customFormat="1" ht="15" x14ac:dyDescent="0.25">
      <c r="A120" s="341">
        <v>13</v>
      </c>
      <c r="B120" s="174">
        <f>PO!A128</f>
        <v>13</v>
      </c>
      <c r="C120" s="143" t="str">
        <f>PO!D128</f>
        <v>SERRALHERIA</v>
      </c>
      <c r="D120" s="144">
        <f>PO!J128</f>
        <v>24780.6</v>
      </c>
      <c r="E120" s="145">
        <f t="shared" si="80"/>
        <v>6.8441921839237044E-2</v>
      </c>
      <c r="F120" s="146"/>
      <c r="G120" s="147"/>
      <c r="H120" s="148"/>
      <c r="I120" s="149"/>
      <c r="J120" s="146"/>
      <c r="K120" s="147"/>
      <c r="L120" s="148"/>
      <c r="M120" s="149"/>
      <c r="N120" s="146"/>
      <c r="O120" s="147"/>
      <c r="P120" s="148"/>
      <c r="Q120" s="149"/>
    </row>
    <row r="121" spans="1:17" s="89" customFormat="1" ht="15" x14ac:dyDescent="0.25">
      <c r="A121" s="342"/>
      <c r="B121" s="150" t="str">
        <f>PO!A129</f>
        <v>13.1</v>
      </c>
      <c r="C121" s="151" t="str">
        <f>PO!D129</f>
        <v>ESCADA COM GUARDA CORPO</v>
      </c>
      <c r="D121" s="152">
        <f>PO!J129</f>
        <v>7116.48</v>
      </c>
      <c r="E121" s="153">
        <f t="shared" si="80"/>
        <v>1.9655116015370639E-2</v>
      </c>
      <c r="F121" s="154"/>
      <c r="G121" s="155">
        <f t="shared" ref="G121" si="121">F121</f>
        <v>0</v>
      </c>
      <c r="H121" s="156"/>
      <c r="I121" s="157">
        <f t="shared" ref="I121" si="122">G121+H121</f>
        <v>0</v>
      </c>
      <c r="J121" s="154">
        <v>30</v>
      </c>
      <c r="K121" s="155">
        <f t="shared" ref="K121" si="123">I121+J121</f>
        <v>30</v>
      </c>
      <c r="L121" s="156">
        <v>70</v>
      </c>
      <c r="M121" s="157">
        <f t="shared" ref="M121" si="124">K121+L121</f>
        <v>100</v>
      </c>
      <c r="N121" s="154"/>
      <c r="O121" s="155">
        <f t="shared" ref="O121" si="125">M121+N121</f>
        <v>100</v>
      </c>
      <c r="P121" s="156"/>
      <c r="Q121" s="157">
        <f t="shared" ref="Q121" si="126">O121+P121</f>
        <v>100</v>
      </c>
    </row>
    <row r="122" spans="1:17" s="89" customFormat="1" ht="15" x14ac:dyDescent="0.25">
      <c r="A122" s="342"/>
      <c r="B122" s="150" t="str">
        <f>PO!A130</f>
        <v>13.2</v>
      </c>
      <c r="C122" s="151" t="str">
        <f>PO!D130</f>
        <v>MEZANINO COM GUARDA CORPO</v>
      </c>
      <c r="D122" s="152">
        <f>PO!J130</f>
        <v>6099.8399999999992</v>
      </c>
      <c r="E122" s="153">
        <f t="shared" si="80"/>
        <v>1.6847242298889117E-2</v>
      </c>
      <c r="F122" s="154"/>
      <c r="G122" s="155">
        <f t="shared" ref="G122:G126" si="127">F122</f>
        <v>0</v>
      </c>
      <c r="H122" s="156"/>
      <c r="I122" s="157">
        <f t="shared" ref="I122:I126" si="128">G122+H122</f>
        <v>0</v>
      </c>
      <c r="J122" s="154">
        <v>30</v>
      </c>
      <c r="K122" s="155">
        <f t="shared" ref="K122:K126" si="129">I122+J122</f>
        <v>30</v>
      </c>
      <c r="L122" s="156">
        <v>70</v>
      </c>
      <c r="M122" s="157">
        <f t="shared" ref="M122:M126" si="130">K122+L122</f>
        <v>100</v>
      </c>
      <c r="N122" s="154"/>
      <c r="O122" s="155">
        <f t="shared" ref="O122:O126" si="131">M122+N122</f>
        <v>100</v>
      </c>
      <c r="P122" s="156"/>
      <c r="Q122" s="157">
        <f t="shared" ref="Q122:Q126" si="132">O122+P122</f>
        <v>100</v>
      </c>
    </row>
    <row r="123" spans="1:17" s="89" customFormat="1" ht="15.75" thickBot="1" x14ac:dyDescent="0.3">
      <c r="A123" s="342"/>
      <c r="B123" s="150" t="str">
        <f>PO!A131</f>
        <v>13.3</v>
      </c>
      <c r="C123" s="151" t="str">
        <f>PO!D131</f>
        <v>PORTÃO DE ENTRADA</v>
      </c>
      <c r="D123" s="152">
        <f>PO!J131</f>
        <v>11564.279999999999</v>
      </c>
      <c r="E123" s="153">
        <f t="shared" si="80"/>
        <v>3.1939563524977288E-2</v>
      </c>
      <c r="F123" s="154"/>
      <c r="G123" s="155">
        <f t="shared" si="127"/>
        <v>0</v>
      </c>
      <c r="H123" s="156"/>
      <c r="I123" s="157">
        <f t="shared" si="128"/>
        <v>0</v>
      </c>
      <c r="J123" s="154">
        <v>20</v>
      </c>
      <c r="K123" s="155">
        <f t="shared" si="129"/>
        <v>20</v>
      </c>
      <c r="L123" s="156"/>
      <c r="M123" s="157">
        <f t="shared" si="130"/>
        <v>20</v>
      </c>
      <c r="N123" s="154"/>
      <c r="O123" s="155">
        <f t="shared" si="131"/>
        <v>20</v>
      </c>
      <c r="P123" s="156">
        <v>80</v>
      </c>
      <c r="Q123" s="157">
        <f t="shared" si="132"/>
        <v>100</v>
      </c>
    </row>
    <row r="124" spans="1:17" s="89" customFormat="1" ht="15" x14ac:dyDescent="0.25">
      <c r="A124" s="341">
        <v>14</v>
      </c>
      <c r="B124" s="174">
        <f>PO!A132</f>
        <v>14</v>
      </c>
      <c r="C124" s="143" t="str">
        <f>PO!D132</f>
        <v>SISTEMA DE PREVENÇÃO CONTRA INCÊNDIO</v>
      </c>
      <c r="D124" s="144">
        <f>PO!J132</f>
        <v>1137.3151680000001</v>
      </c>
      <c r="E124" s="145">
        <f t="shared" ref="E124:E126" si="133">D124/$D$135</f>
        <v>3.1411683266278764E-3</v>
      </c>
      <c r="F124" s="146"/>
      <c r="G124" s="147"/>
      <c r="H124" s="148"/>
      <c r="I124" s="149"/>
      <c r="J124" s="146"/>
      <c r="K124" s="147"/>
      <c r="L124" s="148"/>
      <c r="M124" s="149"/>
      <c r="N124" s="146"/>
      <c r="O124" s="147"/>
      <c r="P124" s="148"/>
      <c r="Q124" s="149"/>
    </row>
    <row r="125" spans="1:17" s="89" customFormat="1" ht="15" x14ac:dyDescent="0.25">
      <c r="A125" s="342"/>
      <c r="B125" s="150" t="str">
        <f>PO!A133</f>
        <v>14.1</v>
      </c>
      <c r="C125" s="151" t="str">
        <f>PO!D133</f>
        <v>LUMINÁRIA DE EMERGÊNCIA - FORNECIMENTO E INSTALAÇÃO. AF_11/2017</v>
      </c>
      <c r="D125" s="152">
        <f>PO!J133</f>
        <v>578.72232000000008</v>
      </c>
      <c r="E125" s="153">
        <f t="shared" si="133"/>
        <v>1.5983821131071055E-3</v>
      </c>
      <c r="F125" s="154"/>
      <c r="G125" s="155">
        <f t="shared" si="127"/>
        <v>0</v>
      </c>
      <c r="H125" s="156"/>
      <c r="I125" s="157">
        <f t="shared" si="128"/>
        <v>0</v>
      </c>
      <c r="J125" s="154"/>
      <c r="K125" s="155">
        <f t="shared" si="129"/>
        <v>0</v>
      </c>
      <c r="L125" s="156"/>
      <c r="M125" s="157">
        <f t="shared" si="130"/>
        <v>0</v>
      </c>
      <c r="N125" s="154"/>
      <c r="O125" s="155">
        <f t="shared" si="131"/>
        <v>0</v>
      </c>
      <c r="P125" s="156">
        <v>100</v>
      </c>
      <c r="Q125" s="157">
        <f t="shared" si="132"/>
        <v>100</v>
      </c>
    </row>
    <row r="126" spans="1:17" s="89" customFormat="1" ht="15.75" thickBot="1" x14ac:dyDescent="0.3">
      <c r="A126" s="342"/>
      <c r="B126" s="150" t="str">
        <f>PO!A134</f>
        <v>14.2</v>
      </c>
      <c r="C126" s="151" t="str">
        <f>PO!D134</f>
        <v>EXTINTOR DE PQS 4KG - FORNECIMENTO E INSTALACAO</v>
      </c>
      <c r="D126" s="152">
        <f>PO!J134</f>
        <v>558.592848</v>
      </c>
      <c r="E126" s="153">
        <f t="shared" si="133"/>
        <v>1.5427862135207711E-3</v>
      </c>
      <c r="F126" s="154"/>
      <c r="G126" s="155">
        <f t="shared" si="127"/>
        <v>0</v>
      </c>
      <c r="H126" s="156"/>
      <c r="I126" s="157">
        <f t="shared" si="128"/>
        <v>0</v>
      </c>
      <c r="J126" s="154"/>
      <c r="K126" s="155">
        <f t="shared" si="129"/>
        <v>0</v>
      </c>
      <c r="L126" s="156"/>
      <c r="M126" s="157">
        <f t="shared" si="130"/>
        <v>0</v>
      </c>
      <c r="N126" s="154"/>
      <c r="O126" s="155">
        <f t="shared" si="131"/>
        <v>0</v>
      </c>
      <c r="P126" s="156">
        <v>100</v>
      </c>
      <c r="Q126" s="157">
        <f t="shared" si="132"/>
        <v>100</v>
      </c>
    </row>
    <row r="127" spans="1:17" s="89" customFormat="1" ht="15" x14ac:dyDescent="0.25">
      <c r="A127" s="341">
        <v>15</v>
      </c>
      <c r="B127" s="174">
        <f>PO!A135</f>
        <v>15</v>
      </c>
      <c r="C127" s="143" t="str">
        <f>PO!D135</f>
        <v>INSTALAÇÃO DE GLP</v>
      </c>
      <c r="D127" s="144">
        <f>PO!J135</f>
        <v>1129.9165704</v>
      </c>
      <c r="E127" s="145">
        <f t="shared" ref="E127:E133" si="134">D127/$D$135</f>
        <v>3.120734025656182E-3</v>
      </c>
      <c r="F127" s="146"/>
      <c r="G127" s="147"/>
      <c r="H127" s="148"/>
      <c r="I127" s="149"/>
      <c r="J127" s="146"/>
      <c r="K127" s="147"/>
      <c r="L127" s="148"/>
      <c r="M127" s="149"/>
      <c r="N127" s="146"/>
      <c r="O127" s="147"/>
      <c r="P127" s="148"/>
      <c r="Q127" s="149"/>
    </row>
    <row r="128" spans="1:17" s="89" customFormat="1" ht="42.75" x14ac:dyDescent="0.25">
      <c r="A128" s="342"/>
      <c r="B128" s="150" t="str">
        <f>PO!A136</f>
        <v>15.1</v>
      </c>
      <c r="C128" s="151" t="str">
        <f>PO!D136</f>
        <v>TUBO DE AÇO GALVANIZADO COM COSTURA, CLASSE MÉDIA, CONEXÃO SOLDADA, DN 20 (3/4"), INSTALADO EM RAMAIS E SUB-RAMAIS DE GÁS - FORNECIMENTO E INSTALAÇÃO. AF_12/2015</v>
      </c>
      <c r="D128" s="152">
        <f>PO!J136</f>
        <v>724.25179439999999</v>
      </c>
      <c r="E128" s="153">
        <f t="shared" si="134"/>
        <v>2.0003222159371437E-3</v>
      </c>
      <c r="F128" s="154"/>
      <c r="G128" s="155">
        <f t="shared" ref="G128:G129" si="135">F128</f>
        <v>0</v>
      </c>
      <c r="H128" s="156"/>
      <c r="I128" s="157">
        <f t="shared" ref="I128:I129" si="136">G128+H128</f>
        <v>0</v>
      </c>
      <c r="J128" s="154">
        <v>50</v>
      </c>
      <c r="K128" s="155">
        <f t="shared" ref="K128:K129" si="137">I128+J128</f>
        <v>50</v>
      </c>
      <c r="L128" s="154">
        <v>50</v>
      </c>
      <c r="M128" s="157">
        <f t="shared" ref="M128:M129" si="138">K128+L128</f>
        <v>100</v>
      </c>
      <c r="N128" s="154"/>
      <c r="O128" s="155">
        <f t="shared" ref="O128:O129" si="139">M128+N128</f>
        <v>100</v>
      </c>
      <c r="P128" s="156"/>
      <c r="Q128" s="157">
        <f t="shared" ref="Q128:Q129" si="140">O128+P128</f>
        <v>100</v>
      </c>
    </row>
    <row r="129" spans="1:24" s="89" customFormat="1" ht="42.75" x14ac:dyDescent="0.25">
      <c r="A129" s="342"/>
      <c r="B129" s="150" t="str">
        <f>PO!A137</f>
        <v>15.2</v>
      </c>
      <c r="C129" s="151" t="str">
        <f>PO!D137</f>
        <v>JOELHO 45 GRAUS, EM FERRO GALVANIZADO, CONEXÃO ROSQUEADA, DN 20 (3/4"), INSTALADO EM RAMAIS E SUB-RAMAIS DE GÁS - FORNECIMENTO E INSTALAÇÃO. AF_12/2015</v>
      </c>
      <c r="D129" s="152">
        <f>PO!J137</f>
        <v>66.284927999999994</v>
      </c>
      <c r="E129" s="153">
        <f t="shared" si="134"/>
        <v>1.8307336631459507E-4</v>
      </c>
      <c r="F129" s="154"/>
      <c r="G129" s="155">
        <f t="shared" si="135"/>
        <v>0</v>
      </c>
      <c r="H129" s="156"/>
      <c r="I129" s="157">
        <f t="shared" si="136"/>
        <v>0</v>
      </c>
      <c r="J129" s="154">
        <v>50</v>
      </c>
      <c r="K129" s="155">
        <f t="shared" si="137"/>
        <v>50</v>
      </c>
      <c r="L129" s="154">
        <v>50</v>
      </c>
      <c r="M129" s="157">
        <f t="shared" si="138"/>
        <v>100</v>
      </c>
      <c r="N129" s="154"/>
      <c r="O129" s="155">
        <f t="shared" si="139"/>
        <v>100</v>
      </c>
      <c r="P129" s="156"/>
      <c r="Q129" s="157">
        <f t="shared" si="140"/>
        <v>100</v>
      </c>
    </row>
    <row r="130" spans="1:24" s="89" customFormat="1" ht="42.75" x14ac:dyDescent="0.25">
      <c r="A130" s="342"/>
      <c r="B130" s="150" t="str">
        <f>PO!A138</f>
        <v>15.3</v>
      </c>
      <c r="C130" s="151" t="str">
        <f>PO!D138</f>
        <v>JOELHO 90 GRAUS, EM FERRO GALVANIZADO, CONEXÃO ROSQUEADA, DN 20 (3/4"), INSTALADO EM RAMAIS E SUB-RAMAIS DE GÁS - FORNECIMENTO E INSTALAÇÃO. AF_12/2015</v>
      </c>
      <c r="D130" s="152">
        <f>PO!J138</f>
        <v>125.91086399999999</v>
      </c>
      <c r="E130" s="153">
        <f t="shared" si="134"/>
        <v>3.4775515978623621E-4</v>
      </c>
      <c r="F130" s="154"/>
      <c r="G130" s="155">
        <f t="shared" ref="G130:G133" si="141">F130</f>
        <v>0</v>
      </c>
      <c r="H130" s="156"/>
      <c r="I130" s="157">
        <f t="shared" ref="I130:I133" si="142">G130+H130</f>
        <v>0</v>
      </c>
      <c r="J130" s="154">
        <v>50</v>
      </c>
      <c r="K130" s="155">
        <f t="shared" ref="K130:K133" si="143">I130+J130</f>
        <v>50</v>
      </c>
      <c r="L130" s="154">
        <v>50</v>
      </c>
      <c r="M130" s="157">
        <f t="shared" ref="M130:M133" si="144">K130+L130</f>
        <v>100</v>
      </c>
      <c r="N130" s="154"/>
      <c r="O130" s="155">
        <f t="shared" ref="O130:O133" si="145">M130+N130</f>
        <v>100</v>
      </c>
      <c r="P130" s="156"/>
      <c r="Q130" s="157">
        <f t="shared" ref="Q130:Q133" si="146">O130+P130</f>
        <v>100</v>
      </c>
      <c r="V130" s="243"/>
    </row>
    <row r="131" spans="1:24" s="89" customFormat="1" ht="15" x14ac:dyDescent="0.25">
      <c r="A131" s="342"/>
      <c r="B131" s="150" t="str">
        <f>PO!A139</f>
        <v>15.4</v>
      </c>
      <c r="C131" s="151" t="str">
        <f>PO!D139</f>
        <v>REGISTRO OU REGULADOR DE GAS COZINHA, VAZAO DE 2 KG/H, 2,8 KPA</v>
      </c>
      <c r="D131" s="152">
        <f>PO!J139</f>
        <v>35.811143999999999</v>
      </c>
      <c r="E131" s="153">
        <f t="shared" si="134"/>
        <v>9.8907351663061539E-5</v>
      </c>
      <c r="F131" s="154"/>
      <c r="G131" s="155">
        <f t="shared" si="141"/>
        <v>0</v>
      </c>
      <c r="H131" s="156"/>
      <c r="I131" s="157">
        <f t="shared" si="142"/>
        <v>0</v>
      </c>
      <c r="J131" s="154">
        <v>50</v>
      </c>
      <c r="K131" s="155">
        <f t="shared" si="143"/>
        <v>50</v>
      </c>
      <c r="L131" s="154">
        <v>50</v>
      </c>
      <c r="M131" s="157">
        <f t="shared" si="144"/>
        <v>100</v>
      </c>
      <c r="N131" s="154"/>
      <c r="O131" s="155">
        <f t="shared" si="145"/>
        <v>100</v>
      </c>
      <c r="P131" s="156"/>
      <c r="Q131" s="157">
        <f>O131+P131</f>
        <v>100</v>
      </c>
    </row>
    <row r="132" spans="1:24" s="89" customFormat="1" ht="15" x14ac:dyDescent="0.25">
      <c r="A132" s="342"/>
      <c r="B132" s="150" t="str">
        <f>PO!A140</f>
        <v>15.5</v>
      </c>
      <c r="C132" s="151" t="str">
        <f>PO!D140</f>
        <v>GRADE DE VENTILAÇÃO PERMANENTE</v>
      </c>
      <c r="D132" s="152">
        <f>PO!J140</f>
        <v>75.993839999999992</v>
      </c>
      <c r="E132" s="153">
        <f t="shared" si="134"/>
        <v>2.098885603069936E-4</v>
      </c>
      <c r="F132" s="154"/>
      <c r="G132" s="155">
        <f t="shared" si="141"/>
        <v>0</v>
      </c>
      <c r="H132" s="156"/>
      <c r="I132" s="157">
        <f t="shared" si="142"/>
        <v>0</v>
      </c>
      <c r="J132" s="154">
        <v>50</v>
      </c>
      <c r="K132" s="155">
        <f t="shared" si="143"/>
        <v>50</v>
      </c>
      <c r="L132" s="154">
        <v>50</v>
      </c>
      <c r="M132" s="157">
        <f t="shared" si="144"/>
        <v>100</v>
      </c>
      <c r="N132" s="154"/>
      <c r="O132" s="155">
        <f t="shared" si="145"/>
        <v>100</v>
      </c>
      <c r="P132" s="156"/>
      <c r="Q132" s="157">
        <f t="shared" si="146"/>
        <v>100</v>
      </c>
    </row>
    <row r="133" spans="1:24" s="89" customFormat="1" ht="15.75" thickBot="1" x14ac:dyDescent="0.3">
      <c r="A133" s="343"/>
      <c r="B133" s="150" t="str">
        <f>PO!A141</f>
        <v>15.6</v>
      </c>
      <c r="C133" s="151" t="str">
        <f>PO!D141</f>
        <v>CARGA DE BOTIJÃO DE GLP P-13</v>
      </c>
      <c r="D133" s="152">
        <f>PO!J141</f>
        <v>101.66399999999999</v>
      </c>
      <c r="E133" s="153">
        <f t="shared" si="134"/>
        <v>2.8078737164815198E-4</v>
      </c>
      <c r="F133" s="154"/>
      <c r="G133" s="155">
        <f t="shared" si="141"/>
        <v>0</v>
      </c>
      <c r="H133" s="156"/>
      <c r="I133" s="157">
        <f t="shared" si="142"/>
        <v>0</v>
      </c>
      <c r="J133" s="154">
        <v>50</v>
      </c>
      <c r="K133" s="155">
        <f t="shared" si="143"/>
        <v>50</v>
      </c>
      <c r="L133" s="154">
        <v>50</v>
      </c>
      <c r="M133" s="157">
        <f t="shared" si="144"/>
        <v>100</v>
      </c>
      <c r="N133" s="154"/>
      <c r="O133" s="155">
        <f t="shared" si="145"/>
        <v>100</v>
      </c>
      <c r="P133" s="156"/>
      <c r="Q133" s="157">
        <f t="shared" si="146"/>
        <v>100</v>
      </c>
    </row>
    <row r="134" spans="1:24" s="117" customFormat="1" ht="15.75" thickBot="1" x14ac:dyDescent="0.3">
      <c r="A134" s="350"/>
      <c r="B134" s="351"/>
      <c r="C134" s="351"/>
      <c r="D134" s="351"/>
      <c r="E134" s="351"/>
      <c r="F134" s="351"/>
      <c r="G134" s="351"/>
      <c r="H134" s="351"/>
      <c r="I134" s="351"/>
      <c r="J134" s="351"/>
      <c r="K134" s="351"/>
      <c r="L134" s="351"/>
      <c r="M134" s="351"/>
      <c r="N134" s="351"/>
      <c r="O134" s="351"/>
      <c r="P134" s="351"/>
      <c r="Q134" s="351"/>
    </row>
    <row r="135" spans="1:24" s="24" customFormat="1" ht="15.75" customHeight="1" thickBot="1" x14ac:dyDescent="0.3">
      <c r="A135" s="357" t="s">
        <v>83</v>
      </c>
      <c r="B135" s="358"/>
      <c r="C135" s="358"/>
      <c r="D135" s="214">
        <f>D127+D124+D120+D113+D108+D104+D100+D67+D33+D29+D27+D21+D15+D13+D10</f>
        <v>362067.56523008004</v>
      </c>
      <c r="E135" s="215">
        <f>E127+E124+E120+E113+E108+E104+E100+E67+E33+E29+E27+E21+E15+E13+E10</f>
        <v>1</v>
      </c>
      <c r="F135" s="216">
        <v>0.12939999999999999</v>
      </c>
      <c r="G135" s="215">
        <f>F135</f>
        <v>0.12939999999999999</v>
      </c>
      <c r="H135" s="216">
        <v>3.8199999999999998E-2</v>
      </c>
      <c r="I135" s="215">
        <v>0.1676</v>
      </c>
      <c r="J135" s="216">
        <v>0.45329999999999998</v>
      </c>
      <c r="K135" s="215">
        <v>0.62090000000000001</v>
      </c>
      <c r="L135" s="216">
        <v>0.30630000000000002</v>
      </c>
      <c r="M135" s="217">
        <v>0.92720000000000002</v>
      </c>
      <c r="N135" s="216">
        <v>2.53E-2</v>
      </c>
      <c r="O135" s="217">
        <v>0.95250000000000001</v>
      </c>
      <c r="P135" s="216">
        <v>4.7500000000000001E-2</v>
      </c>
      <c r="Q135" s="217">
        <v>1</v>
      </c>
    </row>
    <row r="136" spans="1:24" s="24" customFormat="1" x14ac:dyDescent="0.2">
      <c r="A136" s="352"/>
      <c r="B136" s="352"/>
      <c r="C136" s="352"/>
      <c r="D136" s="352"/>
      <c r="E136" s="352"/>
      <c r="F136" s="352"/>
      <c r="G136" s="373"/>
      <c r="H136" s="373"/>
      <c r="I136" s="373"/>
      <c r="J136" s="373"/>
      <c r="K136" s="373"/>
      <c r="L136" s="373"/>
      <c r="M136" s="352"/>
      <c r="N136" s="352"/>
      <c r="O136" s="352"/>
      <c r="P136" s="352"/>
      <c r="Q136" s="352"/>
    </row>
    <row r="137" spans="1:24" s="24" customFormat="1" x14ac:dyDescent="0.2">
      <c r="A137" s="353"/>
      <c r="B137" s="353"/>
      <c r="C137" s="353"/>
      <c r="D137" s="353"/>
      <c r="E137" s="353"/>
      <c r="F137" s="353"/>
      <c r="G137" s="374"/>
      <c r="H137" s="374"/>
      <c r="I137" s="374"/>
      <c r="J137" s="374"/>
      <c r="K137" s="374"/>
      <c r="L137" s="374"/>
      <c r="M137" s="353"/>
      <c r="N137" s="353"/>
      <c r="O137" s="353"/>
      <c r="P137" s="353"/>
      <c r="Q137" s="353"/>
    </row>
    <row r="138" spans="1:24" s="24" customFormat="1" x14ac:dyDescent="0.2">
      <c r="A138" s="354"/>
      <c r="B138" s="354"/>
      <c r="C138" s="354"/>
      <c r="D138" s="354"/>
      <c r="E138" s="354"/>
      <c r="F138" s="354"/>
      <c r="G138" s="375"/>
      <c r="H138" s="375"/>
      <c r="I138" s="375"/>
      <c r="J138" s="375"/>
      <c r="K138" s="375"/>
      <c r="L138" s="375"/>
      <c r="M138" s="354"/>
      <c r="N138" s="354"/>
      <c r="O138" s="354"/>
      <c r="P138" s="354"/>
      <c r="Q138" s="354"/>
    </row>
    <row r="139" spans="1:24" s="24" customFormat="1" ht="15.75" x14ac:dyDescent="0.2">
      <c r="A139" s="354"/>
      <c r="B139" s="354"/>
      <c r="C139" s="354"/>
      <c r="D139" s="354"/>
      <c r="E139" s="354"/>
      <c r="F139" s="354"/>
      <c r="G139" s="356" t="s">
        <v>274</v>
      </c>
      <c r="H139" s="356"/>
      <c r="I139" s="356"/>
      <c r="J139" s="356"/>
      <c r="K139" s="356"/>
      <c r="L139" s="356"/>
      <c r="M139" s="354"/>
      <c r="N139" s="354"/>
      <c r="O139" s="354"/>
      <c r="P139" s="354"/>
      <c r="Q139" s="354"/>
    </row>
    <row r="140" spans="1:24" s="24" customFormat="1" x14ac:dyDescent="0.2">
      <c r="A140" s="354"/>
      <c r="B140" s="354"/>
      <c r="C140" s="354"/>
      <c r="D140" s="354"/>
      <c r="E140" s="354"/>
      <c r="F140" s="354"/>
      <c r="G140" s="301" t="s">
        <v>95</v>
      </c>
      <c r="H140" s="301"/>
      <c r="I140" s="301"/>
      <c r="J140" s="301"/>
      <c r="K140" s="301"/>
      <c r="L140" s="301"/>
      <c r="M140" s="354"/>
      <c r="N140" s="354"/>
      <c r="O140" s="354"/>
      <c r="P140" s="354"/>
      <c r="Q140" s="354"/>
    </row>
    <row r="141" spans="1:24" s="24" customFormat="1" x14ac:dyDescent="0.2">
      <c r="A141" s="354"/>
      <c r="B141" s="354"/>
      <c r="C141" s="354"/>
      <c r="D141" s="354"/>
      <c r="E141" s="354"/>
      <c r="F141" s="354"/>
      <c r="G141" s="354"/>
      <c r="H141" s="354"/>
      <c r="I141" s="354"/>
      <c r="J141" s="354"/>
      <c r="K141" s="354"/>
      <c r="L141" s="354"/>
      <c r="M141" s="354"/>
      <c r="N141" s="354"/>
      <c r="O141" s="354"/>
      <c r="P141" s="354"/>
      <c r="Q141" s="354"/>
    </row>
    <row r="142" spans="1:24" s="24" customFormat="1" x14ac:dyDescent="0.2">
      <c r="A142" s="25"/>
      <c r="B142" s="120"/>
      <c r="C142" s="25"/>
      <c r="D142" s="17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</row>
    <row r="143" spans="1:24" s="24" customFormat="1" x14ac:dyDescent="0.2">
      <c r="A143" s="110"/>
      <c r="B143" s="137"/>
      <c r="C143" s="110"/>
      <c r="D143" s="176"/>
      <c r="E143" s="110"/>
      <c r="F143" s="110"/>
      <c r="G143" s="110"/>
      <c r="H143" s="110"/>
      <c r="I143" s="110"/>
      <c r="J143" s="110"/>
      <c r="K143" s="110"/>
      <c r="L143" s="110"/>
      <c r="M143" s="110"/>
      <c r="N143" s="110"/>
      <c r="O143" s="110"/>
      <c r="P143" s="110"/>
      <c r="Q143" s="110"/>
      <c r="X143" s="242"/>
    </row>
    <row r="144" spans="1:24" s="24" customFormat="1" x14ac:dyDescent="0.2">
      <c r="A144" s="110"/>
      <c r="B144" s="137"/>
      <c r="C144" s="110"/>
      <c r="D144" s="176"/>
      <c r="E144" s="110"/>
      <c r="F144" s="110"/>
      <c r="G144" s="110"/>
      <c r="H144" s="110"/>
      <c r="I144" s="110"/>
      <c r="J144" s="110"/>
      <c r="K144" s="110"/>
      <c r="L144" s="110"/>
      <c r="M144" s="110"/>
      <c r="N144" s="110"/>
      <c r="O144" s="110"/>
      <c r="P144" s="110"/>
      <c r="Q144" s="110"/>
    </row>
    <row r="146" spans="5:9" x14ac:dyDescent="0.2">
      <c r="E146" s="224"/>
    </row>
    <row r="147" spans="5:9" x14ac:dyDescent="0.2">
      <c r="E147" s="224"/>
    </row>
    <row r="148" spans="5:9" x14ac:dyDescent="0.2">
      <c r="E148" s="224"/>
    </row>
    <row r="149" spans="5:9" x14ac:dyDescent="0.2">
      <c r="E149" s="224"/>
      <c r="I149" s="224"/>
    </row>
    <row r="150" spans="5:9" x14ac:dyDescent="0.2">
      <c r="E150" s="224"/>
    </row>
    <row r="151" spans="5:9" x14ac:dyDescent="0.2">
      <c r="E151" s="224"/>
    </row>
  </sheetData>
  <mergeCells count="40">
    <mergeCell ref="A1:Q1"/>
    <mergeCell ref="F7:Q7"/>
    <mergeCell ref="A6:Q6"/>
    <mergeCell ref="P8:Q8"/>
    <mergeCell ref="F8:G8"/>
    <mergeCell ref="H8:I8"/>
    <mergeCell ref="J8:K8"/>
    <mergeCell ref="L8:M8"/>
    <mergeCell ref="A2:Q2"/>
    <mergeCell ref="A3:Q3"/>
    <mergeCell ref="A4:Q4"/>
    <mergeCell ref="A5:Q5"/>
    <mergeCell ref="N8:O8"/>
    <mergeCell ref="E7:E9"/>
    <mergeCell ref="A7:B9"/>
    <mergeCell ref="C7:C9"/>
    <mergeCell ref="D7:D9"/>
    <mergeCell ref="M136:Q141"/>
    <mergeCell ref="A136:F141"/>
    <mergeCell ref="A21:A26"/>
    <mergeCell ref="A27:A28"/>
    <mergeCell ref="G139:L139"/>
    <mergeCell ref="G140:L140"/>
    <mergeCell ref="A135:C135"/>
    <mergeCell ref="A104:A107"/>
    <mergeCell ref="A108:A112"/>
    <mergeCell ref="A113:A119"/>
    <mergeCell ref="A124:A126"/>
    <mergeCell ref="A127:A133"/>
    <mergeCell ref="A33:A66"/>
    <mergeCell ref="A67:A99"/>
    <mergeCell ref="G141:L141"/>
    <mergeCell ref="G136:L138"/>
    <mergeCell ref="A29:A32"/>
    <mergeCell ref="A15:A20"/>
    <mergeCell ref="A10:A12"/>
    <mergeCell ref="A13:A14"/>
    <mergeCell ref="A134:Q134"/>
    <mergeCell ref="A120:A123"/>
    <mergeCell ref="A100:A103"/>
  </mergeCells>
  <pageMargins left="0.511811024" right="0.511811024" top="0.78740157499999996" bottom="0.78740157499999996" header="0.31496062000000002" footer="0.31496062000000002"/>
  <pageSetup paperSize="9" scale="48" fitToHeight="0" orientation="landscape" r:id="rId1"/>
  <rowBreaks count="1" manualBreakCount="1">
    <brk id="66" max="2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2"/>
  <sheetViews>
    <sheetView view="pageBreakPreview" zoomScale="60" zoomScaleNormal="70" workbookViewId="0">
      <selection activeCell="S55" sqref="S55"/>
    </sheetView>
  </sheetViews>
  <sheetFormatPr defaultColWidth="9.140625" defaultRowHeight="14.25" x14ac:dyDescent="0.2"/>
  <cols>
    <col min="1" max="1" width="24" style="24" customWidth="1"/>
    <col min="2" max="2" width="12" style="27" bestFit="1" customWidth="1"/>
    <col min="3" max="3" width="16.42578125" style="28" customWidth="1"/>
    <col min="4" max="4" width="24" style="24" customWidth="1"/>
    <col min="5" max="5" width="40.28515625" style="24" bestFit="1" customWidth="1"/>
    <col min="6" max="6" width="20.5703125" style="24" customWidth="1"/>
    <col min="7" max="16384" width="9.140625" style="24"/>
  </cols>
  <sheetData>
    <row r="1" spans="1:20" s="3" customFormat="1" ht="72" customHeight="1" x14ac:dyDescent="0.2">
      <c r="A1" s="323" t="s">
        <v>256</v>
      </c>
      <c r="B1" s="324"/>
      <c r="C1" s="324"/>
      <c r="D1" s="324"/>
      <c r="E1" s="324"/>
      <c r="F1" s="325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</row>
    <row r="2" spans="1:20" x14ac:dyDescent="0.2">
      <c r="A2" s="392" t="s">
        <v>203</v>
      </c>
      <c r="B2" s="263"/>
      <c r="C2" s="263"/>
      <c r="D2" s="263"/>
      <c r="E2" s="263"/>
      <c r="F2" s="393"/>
      <c r="G2" s="25"/>
      <c r="H2" s="25"/>
      <c r="I2" s="25"/>
    </row>
    <row r="3" spans="1:20" ht="13.9" x14ac:dyDescent="0.25">
      <c r="A3" s="392" t="s">
        <v>200</v>
      </c>
      <c r="B3" s="263"/>
      <c r="C3" s="263"/>
      <c r="D3" s="263"/>
      <c r="E3" s="263"/>
      <c r="F3" s="393"/>
      <c r="G3" s="25"/>
      <c r="H3" s="25"/>
      <c r="I3" s="25"/>
    </row>
    <row r="4" spans="1:20" ht="13.9" x14ac:dyDescent="0.25">
      <c r="A4" s="392" t="s">
        <v>2</v>
      </c>
      <c r="B4" s="263"/>
      <c r="C4" s="263"/>
      <c r="D4" s="263"/>
      <c r="E4" s="263"/>
      <c r="F4" s="393"/>
      <c r="G4" s="25"/>
      <c r="H4" s="25"/>
      <c r="I4" s="25"/>
    </row>
    <row r="5" spans="1:20" ht="14.45" thickBot="1" x14ac:dyDescent="0.3">
      <c r="A5" s="394" t="s">
        <v>3</v>
      </c>
      <c r="B5" s="395"/>
      <c r="C5" s="395"/>
      <c r="D5" s="395"/>
      <c r="E5" s="395"/>
      <c r="F5" s="396"/>
      <c r="G5" s="25"/>
      <c r="H5" s="25"/>
      <c r="I5" s="25"/>
    </row>
    <row r="6" spans="1:20" ht="15.75" thickBot="1" x14ac:dyDescent="0.25">
      <c r="A6" s="386" t="s">
        <v>88</v>
      </c>
      <c r="B6" s="387"/>
      <c r="C6" s="387"/>
      <c r="D6" s="387"/>
      <c r="E6" s="387"/>
      <c r="F6" s="388"/>
      <c r="G6" s="26"/>
      <c r="H6" s="26"/>
      <c r="I6" s="26"/>
    </row>
    <row r="7" spans="1:20" ht="14.45" thickBot="1" x14ac:dyDescent="0.3">
      <c r="A7" s="389" t="s">
        <v>89</v>
      </c>
      <c r="B7" s="390"/>
      <c r="C7" s="390"/>
      <c r="D7" s="390"/>
      <c r="E7" s="390"/>
      <c r="F7" s="391"/>
    </row>
    <row r="8" spans="1:20" ht="13.9" x14ac:dyDescent="0.25">
      <c r="A8" s="383" t="s">
        <v>233</v>
      </c>
      <c r="B8" s="384"/>
      <c r="C8" s="384"/>
      <c r="D8" s="384"/>
      <c r="E8" s="384"/>
      <c r="F8" s="385"/>
    </row>
    <row r="9" spans="1:20" ht="13.9" x14ac:dyDescent="0.25">
      <c r="A9" s="127" t="s">
        <v>66</v>
      </c>
      <c r="B9" s="121" t="s">
        <v>67</v>
      </c>
      <c r="C9" s="122" t="s">
        <v>204</v>
      </c>
      <c r="D9" s="123" t="s">
        <v>68</v>
      </c>
      <c r="E9" s="123" t="s">
        <v>69</v>
      </c>
      <c r="F9" s="128" t="s">
        <v>70</v>
      </c>
      <c r="G9" s="110"/>
    </row>
    <row r="10" spans="1:20" x14ac:dyDescent="0.2">
      <c r="A10" s="129" t="s">
        <v>265</v>
      </c>
      <c r="B10" s="125">
        <v>43426</v>
      </c>
      <c r="C10" s="126">
        <f>19500*6</f>
        <v>117000</v>
      </c>
      <c r="D10" s="124" t="s">
        <v>207</v>
      </c>
      <c r="E10" s="124" t="s">
        <v>208</v>
      </c>
      <c r="F10" s="130" t="s">
        <v>209</v>
      </c>
      <c r="G10" s="110"/>
    </row>
    <row r="11" spans="1:20" x14ac:dyDescent="0.2">
      <c r="A11" s="129" t="s">
        <v>267</v>
      </c>
      <c r="B11" s="125">
        <v>43432</v>
      </c>
      <c r="C11" s="126">
        <v>99395</v>
      </c>
      <c r="D11" s="124" t="s">
        <v>221</v>
      </c>
      <c r="E11" s="124" t="s">
        <v>222</v>
      </c>
      <c r="F11" s="130" t="s">
        <v>266</v>
      </c>
    </row>
    <row r="12" spans="1:20" ht="14.45" thickBot="1" x14ac:dyDescent="0.3">
      <c r="A12" s="131" t="s">
        <v>234</v>
      </c>
      <c r="B12" s="132">
        <v>43432</v>
      </c>
      <c r="C12" s="133">
        <f>10000*6+23092.29</f>
        <v>83092.290000000008</v>
      </c>
      <c r="D12" s="134" t="s">
        <v>235</v>
      </c>
      <c r="E12" s="134" t="s">
        <v>236</v>
      </c>
      <c r="F12" s="135" t="s">
        <v>237</v>
      </c>
    </row>
    <row r="13" spans="1:20" ht="15" x14ac:dyDescent="0.2">
      <c r="A13" s="383" t="s">
        <v>101</v>
      </c>
      <c r="B13" s="384"/>
      <c r="C13" s="384"/>
      <c r="D13" s="384"/>
      <c r="E13" s="384"/>
      <c r="F13" s="385"/>
    </row>
    <row r="14" spans="1:20" ht="13.9" x14ac:dyDescent="0.25">
      <c r="A14" s="127" t="s">
        <v>66</v>
      </c>
      <c r="B14" s="121" t="s">
        <v>67</v>
      </c>
      <c r="C14" s="122" t="s">
        <v>204</v>
      </c>
      <c r="D14" s="123" t="s">
        <v>68</v>
      </c>
      <c r="E14" s="123" t="s">
        <v>69</v>
      </c>
      <c r="F14" s="128" t="s">
        <v>70</v>
      </c>
    </row>
    <row r="15" spans="1:20" x14ac:dyDescent="0.2">
      <c r="A15" s="129" t="s">
        <v>210</v>
      </c>
      <c r="B15" s="125">
        <v>43425</v>
      </c>
      <c r="C15" s="126">
        <v>10791</v>
      </c>
      <c r="D15" s="124" t="s">
        <v>272</v>
      </c>
      <c r="E15" s="124" t="s">
        <v>212</v>
      </c>
      <c r="F15" s="130" t="s">
        <v>230</v>
      </c>
    </row>
    <row r="16" spans="1:20" x14ac:dyDescent="0.2">
      <c r="A16" s="129" t="s">
        <v>211</v>
      </c>
      <c r="B16" s="125">
        <v>43430</v>
      </c>
      <c r="C16" s="126">
        <v>16154</v>
      </c>
      <c r="D16" s="124" t="s">
        <v>213</v>
      </c>
      <c r="E16" s="124" t="s">
        <v>214</v>
      </c>
      <c r="F16" s="130" t="s">
        <v>229</v>
      </c>
    </row>
    <row r="17" spans="1:6" ht="15" thickBot="1" x14ac:dyDescent="0.25">
      <c r="A17" s="131" t="s">
        <v>226</v>
      </c>
      <c r="B17" s="132">
        <v>43430</v>
      </c>
      <c r="C17" s="133">
        <v>15903</v>
      </c>
      <c r="D17" s="134" t="s">
        <v>227</v>
      </c>
      <c r="E17" s="134" t="s">
        <v>228</v>
      </c>
      <c r="F17" s="135" t="s">
        <v>273</v>
      </c>
    </row>
    <row r="18" spans="1:6" ht="15" x14ac:dyDescent="0.2">
      <c r="A18" s="383" t="s">
        <v>206</v>
      </c>
      <c r="B18" s="384"/>
      <c r="C18" s="384"/>
      <c r="D18" s="384"/>
      <c r="E18" s="384"/>
      <c r="F18" s="385"/>
    </row>
    <row r="19" spans="1:6" ht="15" x14ac:dyDescent="0.25">
      <c r="A19" s="127" t="s">
        <v>66</v>
      </c>
      <c r="B19" s="121" t="s">
        <v>67</v>
      </c>
      <c r="C19" s="122" t="s">
        <v>204</v>
      </c>
      <c r="D19" s="123" t="s">
        <v>68</v>
      </c>
      <c r="E19" s="123" t="s">
        <v>69</v>
      </c>
      <c r="F19" s="128" t="s">
        <v>70</v>
      </c>
    </row>
    <row r="20" spans="1:6" x14ac:dyDescent="0.2">
      <c r="A20" s="129" t="s">
        <v>275</v>
      </c>
      <c r="B20" s="125">
        <v>43430</v>
      </c>
      <c r="C20" s="126">
        <f>9100+4800+5600+30800</f>
        <v>50300</v>
      </c>
      <c r="D20" s="124" t="s">
        <v>215</v>
      </c>
      <c r="E20" s="124" t="s">
        <v>216</v>
      </c>
      <c r="F20" s="130" t="s">
        <v>231</v>
      </c>
    </row>
    <row r="21" spans="1:6" x14ac:dyDescent="0.2">
      <c r="A21" s="129" t="s">
        <v>223</v>
      </c>
      <c r="B21" s="125">
        <v>43432</v>
      </c>
      <c r="C21" s="126">
        <v>84701</v>
      </c>
      <c r="D21" s="124" t="s">
        <v>225</v>
      </c>
      <c r="E21" s="124" t="s">
        <v>224</v>
      </c>
      <c r="F21" s="130" t="s">
        <v>232</v>
      </c>
    </row>
    <row r="22" spans="1:6" ht="15" thickBot="1" x14ac:dyDescent="0.25">
      <c r="A22" s="131" t="s">
        <v>241</v>
      </c>
      <c r="B22" s="132">
        <v>43447</v>
      </c>
      <c r="C22" s="133">
        <f>3700+11830+23000</f>
        <v>38530</v>
      </c>
      <c r="D22" s="134" t="s">
        <v>276</v>
      </c>
      <c r="E22" s="134" t="s">
        <v>239</v>
      </c>
      <c r="F22" s="135" t="s">
        <v>240</v>
      </c>
    </row>
    <row r="23" spans="1:6" ht="15" x14ac:dyDescent="0.2">
      <c r="A23" s="383" t="s">
        <v>254</v>
      </c>
      <c r="B23" s="384"/>
      <c r="C23" s="384"/>
      <c r="D23" s="384"/>
      <c r="E23" s="384"/>
      <c r="F23" s="385"/>
    </row>
    <row r="24" spans="1:6" ht="15" x14ac:dyDescent="0.25">
      <c r="A24" s="127" t="s">
        <v>66</v>
      </c>
      <c r="B24" s="121" t="s">
        <v>67</v>
      </c>
      <c r="C24" s="122" t="s">
        <v>204</v>
      </c>
      <c r="D24" s="123" t="s">
        <v>68</v>
      </c>
      <c r="E24" s="123" t="s">
        <v>69</v>
      </c>
      <c r="F24" s="128" t="s">
        <v>70</v>
      </c>
    </row>
    <row r="25" spans="1:6" x14ac:dyDescent="0.2">
      <c r="A25" s="129" t="s">
        <v>279</v>
      </c>
      <c r="B25" s="125">
        <v>43432</v>
      </c>
      <c r="C25" s="126">
        <v>29.9</v>
      </c>
      <c r="D25" s="124"/>
      <c r="E25" s="124" t="s">
        <v>316</v>
      </c>
      <c r="F25" s="130" t="s">
        <v>282</v>
      </c>
    </row>
    <row r="26" spans="1:6" x14ac:dyDescent="0.2">
      <c r="A26" s="129" t="s">
        <v>280</v>
      </c>
      <c r="B26" s="125">
        <v>43432</v>
      </c>
      <c r="C26" s="126">
        <v>11.7</v>
      </c>
      <c r="D26" s="124"/>
      <c r="E26" s="124"/>
      <c r="F26" s="130" t="s">
        <v>317</v>
      </c>
    </row>
    <row r="27" spans="1:6" ht="15" thickBot="1" x14ac:dyDescent="0.25">
      <c r="A27" s="131" t="s">
        <v>281</v>
      </c>
      <c r="B27" s="132">
        <v>43432</v>
      </c>
      <c r="C27" s="133">
        <v>30.55</v>
      </c>
      <c r="D27" s="134"/>
      <c r="E27" s="134"/>
      <c r="F27" s="135" t="s">
        <v>283</v>
      </c>
    </row>
    <row r="28" spans="1:6" ht="15" x14ac:dyDescent="0.2">
      <c r="A28" s="383" t="s">
        <v>298</v>
      </c>
      <c r="B28" s="384"/>
      <c r="C28" s="384"/>
      <c r="D28" s="384"/>
      <c r="E28" s="384"/>
      <c r="F28" s="385"/>
    </row>
    <row r="29" spans="1:6" ht="15" x14ac:dyDescent="0.25">
      <c r="A29" s="127" t="s">
        <v>66</v>
      </c>
      <c r="B29" s="121" t="s">
        <v>67</v>
      </c>
      <c r="C29" s="122" t="s">
        <v>204</v>
      </c>
      <c r="D29" s="123" t="s">
        <v>68</v>
      </c>
      <c r="E29" s="123" t="s">
        <v>69</v>
      </c>
      <c r="F29" s="128" t="s">
        <v>70</v>
      </c>
    </row>
    <row r="30" spans="1:6" x14ac:dyDescent="0.2">
      <c r="A30" s="129" t="s">
        <v>299</v>
      </c>
      <c r="B30" s="212">
        <v>43368</v>
      </c>
      <c r="C30" s="126">
        <v>91.6</v>
      </c>
      <c r="D30" s="124" t="s">
        <v>313</v>
      </c>
      <c r="E30" s="124" t="s">
        <v>312</v>
      </c>
      <c r="F30" s="130" t="s">
        <v>311</v>
      </c>
    </row>
    <row r="31" spans="1:6" x14ac:dyDescent="0.2">
      <c r="A31" s="129" t="s">
        <v>300</v>
      </c>
      <c r="B31" s="212">
        <v>43367</v>
      </c>
      <c r="C31" s="126">
        <v>109.18</v>
      </c>
      <c r="D31" s="208" t="s">
        <v>307</v>
      </c>
      <c r="E31" s="124" t="s">
        <v>305</v>
      </c>
      <c r="F31" s="210" t="s">
        <v>309</v>
      </c>
    </row>
    <row r="32" spans="1:6" ht="15" thickBot="1" x14ac:dyDescent="0.25">
      <c r="A32" s="131" t="s">
        <v>301</v>
      </c>
      <c r="B32" s="213">
        <v>43368</v>
      </c>
      <c r="C32" s="133">
        <v>86.7</v>
      </c>
      <c r="D32" s="209" t="s">
        <v>308</v>
      </c>
      <c r="E32" s="134" t="s">
        <v>306</v>
      </c>
      <c r="F32" s="211" t="s">
        <v>310</v>
      </c>
    </row>
    <row r="33" spans="1:6" ht="15" x14ac:dyDescent="0.2">
      <c r="A33" s="383" t="s">
        <v>304</v>
      </c>
      <c r="B33" s="384"/>
      <c r="C33" s="384"/>
      <c r="D33" s="384"/>
      <c r="E33" s="384"/>
      <c r="F33" s="385"/>
    </row>
    <row r="34" spans="1:6" ht="15" x14ac:dyDescent="0.25">
      <c r="A34" s="127" t="s">
        <v>66</v>
      </c>
      <c r="B34" s="121" t="s">
        <v>67</v>
      </c>
      <c r="C34" s="122" t="s">
        <v>204</v>
      </c>
      <c r="D34" s="123" t="s">
        <v>68</v>
      </c>
      <c r="E34" s="123" t="s">
        <v>69</v>
      </c>
      <c r="F34" s="128" t="s">
        <v>70</v>
      </c>
    </row>
    <row r="35" spans="1:6" x14ac:dyDescent="0.2">
      <c r="A35" s="129" t="s">
        <v>299</v>
      </c>
      <c r="B35" s="212">
        <v>43368</v>
      </c>
      <c r="C35" s="126">
        <v>47.33</v>
      </c>
      <c r="D35" s="124" t="s">
        <v>313</v>
      </c>
      <c r="E35" s="124" t="s">
        <v>312</v>
      </c>
      <c r="F35" s="130" t="s">
        <v>311</v>
      </c>
    </row>
    <row r="36" spans="1:6" x14ac:dyDescent="0.2">
      <c r="A36" s="129" t="s">
        <v>300</v>
      </c>
      <c r="B36" s="212">
        <v>43367</v>
      </c>
      <c r="C36" s="126">
        <v>60.61</v>
      </c>
      <c r="D36" s="208" t="s">
        <v>307</v>
      </c>
      <c r="E36" s="124" t="s">
        <v>305</v>
      </c>
      <c r="F36" s="210" t="s">
        <v>309</v>
      </c>
    </row>
    <row r="37" spans="1:6" ht="15" thickBot="1" x14ac:dyDescent="0.25">
      <c r="A37" s="131" t="s">
        <v>301</v>
      </c>
      <c r="B37" s="213">
        <v>43368</v>
      </c>
      <c r="C37" s="133">
        <v>55.63</v>
      </c>
      <c r="D37" s="209" t="s">
        <v>308</v>
      </c>
      <c r="E37" s="134" t="s">
        <v>306</v>
      </c>
      <c r="F37" s="211" t="s">
        <v>310</v>
      </c>
    </row>
    <row r="38" spans="1:6" ht="15" x14ac:dyDescent="0.2">
      <c r="A38" s="383" t="s">
        <v>302</v>
      </c>
      <c r="B38" s="384"/>
      <c r="C38" s="384"/>
      <c r="D38" s="384"/>
      <c r="E38" s="384"/>
      <c r="F38" s="385"/>
    </row>
    <row r="39" spans="1:6" ht="15" x14ac:dyDescent="0.25">
      <c r="A39" s="127" t="s">
        <v>66</v>
      </c>
      <c r="B39" s="121" t="s">
        <v>67</v>
      </c>
      <c r="C39" s="122" t="s">
        <v>204</v>
      </c>
      <c r="D39" s="123" t="s">
        <v>68</v>
      </c>
      <c r="E39" s="123" t="s">
        <v>69</v>
      </c>
      <c r="F39" s="128" t="s">
        <v>70</v>
      </c>
    </row>
    <row r="40" spans="1:6" x14ac:dyDescent="0.2">
      <c r="A40" s="129" t="s">
        <v>299</v>
      </c>
      <c r="B40" s="212">
        <v>43368</v>
      </c>
      <c r="C40" s="126">
        <v>89.23</v>
      </c>
      <c r="D40" s="124" t="s">
        <v>313</v>
      </c>
      <c r="E40" s="124" t="s">
        <v>312</v>
      </c>
      <c r="F40" s="130" t="s">
        <v>311</v>
      </c>
    </row>
    <row r="41" spans="1:6" x14ac:dyDescent="0.2">
      <c r="A41" s="129" t="s">
        <v>300</v>
      </c>
      <c r="B41" s="212">
        <v>43367</v>
      </c>
      <c r="C41" s="126">
        <v>81.8</v>
      </c>
      <c r="D41" s="208" t="s">
        <v>307</v>
      </c>
      <c r="E41" s="124" t="s">
        <v>305</v>
      </c>
      <c r="F41" s="210" t="s">
        <v>309</v>
      </c>
    </row>
    <row r="42" spans="1:6" ht="15" thickBot="1" x14ac:dyDescent="0.25">
      <c r="A42" s="131" t="s">
        <v>301</v>
      </c>
      <c r="B42" s="213">
        <v>43368</v>
      </c>
      <c r="C42" s="126">
        <v>91.37</v>
      </c>
      <c r="D42" s="209" t="s">
        <v>308</v>
      </c>
      <c r="E42" s="134" t="s">
        <v>306</v>
      </c>
      <c r="F42" s="211" t="s">
        <v>310</v>
      </c>
    </row>
    <row r="43" spans="1:6" ht="15" x14ac:dyDescent="0.2">
      <c r="A43" s="383" t="s">
        <v>303</v>
      </c>
      <c r="B43" s="384"/>
      <c r="C43" s="384"/>
      <c r="D43" s="384"/>
      <c r="E43" s="384"/>
      <c r="F43" s="385"/>
    </row>
    <row r="44" spans="1:6" ht="15" x14ac:dyDescent="0.25">
      <c r="A44" s="127" t="s">
        <v>66</v>
      </c>
      <c r="B44" s="121" t="s">
        <v>67</v>
      </c>
      <c r="C44" s="122" t="s">
        <v>204</v>
      </c>
      <c r="D44" s="123" t="s">
        <v>68</v>
      </c>
      <c r="E44" s="123" t="s">
        <v>69</v>
      </c>
      <c r="F44" s="128" t="s">
        <v>70</v>
      </c>
    </row>
    <row r="45" spans="1:6" x14ac:dyDescent="0.2">
      <c r="A45" s="129" t="s">
        <v>299</v>
      </c>
      <c r="B45" s="212">
        <v>43368</v>
      </c>
      <c r="C45" s="126">
        <v>95.6</v>
      </c>
      <c r="D45" s="124" t="s">
        <v>313</v>
      </c>
      <c r="E45" s="124" t="s">
        <v>312</v>
      </c>
      <c r="F45" s="130" t="s">
        <v>311</v>
      </c>
    </row>
    <row r="46" spans="1:6" x14ac:dyDescent="0.2">
      <c r="A46" s="129" t="s">
        <v>300</v>
      </c>
      <c r="B46" s="212">
        <v>43367</v>
      </c>
      <c r="C46" s="126">
        <v>88.78</v>
      </c>
      <c r="D46" s="208" t="s">
        <v>307</v>
      </c>
      <c r="E46" s="124" t="s">
        <v>305</v>
      </c>
      <c r="F46" s="210" t="s">
        <v>309</v>
      </c>
    </row>
    <row r="47" spans="1:6" ht="15" thickBot="1" x14ac:dyDescent="0.25">
      <c r="A47" s="131" t="s">
        <v>301</v>
      </c>
      <c r="B47" s="213">
        <v>43368</v>
      </c>
      <c r="C47" s="133">
        <v>94.82</v>
      </c>
      <c r="D47" s="209" t="s">
        <v>308</v>
      </c>
      <c r="E47" s="134" t="s">
        <v>306</v>
      </c>
      <c r="F47" s="211" t="s">
        <v>310</v>
      </c>
    </row>
    <row r="48" spans="1:6" ht="15" x14ac:dyDescent="0.2">
      <c r="A48" s="383" t="s">
        <v>384</v>
      </c>
      <c r="B48" s="384"/>
      <c r="C48" s="384"/>
      <c r="D48" s="384"/>
      <c r="E48" s="384"/>
      <c r="F48" s="385"/>
    </row>
    <row r="49" spans="1:6" ht="15" x14ac:dyDescent="0.25">
      <c r="A49" s="127" t="s">
        <v>66</v>
      </c>
      <c r="B49" s="121" t="s">
        <v>67</v>
      </c>
      <c r="C49" s="122" t="s">
        <v>204</v>
      </c>
      <c r="D49" s="123" t="s">
        <v>68</v>
      </c>
      <c r="E49" s="123" t="s">
        <v>69</v>
      </c>
      <c r="F49" s="128" t="s">
        <v>70</v>
      </c>
    </row>
    <row r="50" spans="1:6" x14ac:dyDescent="0.2">
      <c r="A50" s="129" t="s">
        <v>387</v>
      </c>
      <c r="B50" s="212">
        <v>43521</v>
      </c>
      <c r="C50" s="126">
        <v>350</v>
      </c>
      <c r="D50" s="124" t="s">
        <v>381</v>
      </c>
      <c r="E50" s="124" t="s">
        <v>382</v>
      </c>
      <c r="F50" s="130" t="s">
        <v>383</v>
      </c>
    </row>
    <row r="51" spans="1:6" x14ac:dyDescent="0.2">
      <c r="A51" s="129" t="s">
        <v>373</v>
      </c>
      <c r="B51" s="212">
        <v>43521</v>
      </c>
      <c r="C51" s="126">
        <v>350</v>
      </c>
      <c r="D51" s="208" t="s">
        <v>374</v>
      </c>
      <c r="E51" s="124" t="s">
        <v>375</v>
      </c>
      <c r="F51" s="210" t="s">
        <v>379</v>
      </c>
    </row>
    <row r="52" spans="1:6" ht="15.75" thickBot="1" x14ac:dyDescent="0.3">
      <c r="A52" s="131" t="s">
        <v>376</v>
      </c>
      <c r="B52" s="213">
        <v>43521</v>
      </c>
      <c r="C52" s="133">
        <v>350</v>
      </c>
      <c r="D52" s="209" t="s">
        <v>377</v>
      </c>
      <c r="E52" t="s">
        <v>380</v>
      </c>
      <c r="F52" s="211" t="s">
        <v>378</v>
      </c>
    </row>
    <row r="53" spans="1:6" ht="15" x14ac:dyDescent="0.2">
      <c r="A53" s="383" t="s">
        <v>385</v>
      </c>
      <c r="B53" s="384"/>
      <c r="C53" s="384"/>
      <c r="D53" s="384"/>
      <c r="E53" s="384"/>
      <c r="F53" s="385"/>
    </row>
    <row r="54" spans="1:6" ht="15" x14ac:dyDescent="0.25">
      <c r="A54" s="127" t="s">
        <v>66</v>
      </c>
      <c r="B54" s="121" t="s">
        <v>67</v>
      </c>
      <c r="C54" s="122" t="s">
        <v>204</v>
      </c>
      <c r="D54" s="123" t="s">
        <v>68</v>
      </c>
      <c r="E54" s="123" t="s">
        <v>69</v>
      </c>
      <c r="F54" s="128" t="s">
        <v>70</v>
      </c>
    </row>
    <row r="55" spans="1:6" x14ac:dyDescent="0.2">
      <c r="A55" s="129" t="s">
        <v>387</v>
      </c>
      <c r="B55" s="212">
        <v>43521</v>
      </c>
      <c r="C55" s="126">
        <v>350</v>
      </c>
      <c r="D55" s="124" t="s">
        <v>381</v>
      </c>
      <c r="E55" s="124" t="s">
        <v>382</v>
      </c>
      <c r="F55" s="130" t="s">
        <v>383</v>
      </c>
    </row>
    <row r="56" spans="1:6" x14ac:dyDescent="0.2">
      <c r="A56" s="129" t="s">
        <v>373</v>
      </c>
      <c r="B56" s="212">
        <v>43521</v>
      </c>
      <c r="C56" s="126">
        <v>350</v>
      </c>
      <c r="D56" s="208" t="s">
        <v>374</v>
      </c>
      <c r="E56" s="124" t="s">
        <v>375</v>
      </c>
      <c r="F56" s="210" t="s">
        <v>379</v>
      </c>
    </row>
    <row r="57" spans="1:6" ht="15.75" thickBot="1" x14ac:dyDescent="0.3">
      <c r="A57" s="131" t="s">
        <v>376</v>
      </c>
      <c r="B57" s="213">
        <v>43521</v>
      </c>
      <c r="C57" s="133">
        <v>350</v>
      </c>
      <c r="D57" s="209" t="s">
        <v>377</v>
      </c>
      <c r="E57" s="237" t="s">
        <v>380</v>
      </c>
      <c r="F57" s="211" t="s">
        <v>378</v>
      </c>
    </row>
    <row r="58" spans="1:6" ht="15" x14ac:dyDescent="0.2">
      <c r="A58" s="383" t="s">
        <v>386</v>
      </c>
      <c r="B58" s="384"/>
      <c r="C58" s="384"/>
      <c r="D58" s="384"/>
      <c r="E58" s="384"/>
      <c r="F58" s="385"/>
    </row>
    <row r="59" spans="1:6" ht="15" x14ac:dyDescent="0.25">
      <c r="A59" s="127" t="s">
        <v>66</v>
      </c>
      <c r="B59" s="121" t="s">
        <v>67</v>
      </c>
      <c r="C59" s="122" t="s">
        <v>204</v>
      </c>
      <c r="D59" s="123" t="s">
        <v>68</v>
      </c>
      <c r="E59" s="123" t="s">
        <v>69</v>
      </c>
      <c r="F59" s="128" t="s">
        <v>70</v>
      </c>
    </row>
    <row r="60" spans="1:6" x14ac:dyDescent="0.2">
      <c r="A60" s="129" t="s">
        <v>387</v>
      </c>
      <c r="B60" s="212">
        <v>43521</v>
      </c>
      <c r="C60" s="126">
        <v>450</v>
      </c>
      <c r="D60" s="124" t="s">
        <v>381</v>
      </c>
      <c r="E60" s="124" t="s">
        <v>382</v>
      </c>
      <c r="F60" s="130" t="s">
        <v>383</v>
      </c>
    </row>
    <row r="61" spans="1:6" x14ac:dyDescent="0.2">
      <c r="A61" s="129" t="s">
        <v>373</v>
      </c>
      <c r="B61" s="212">
        <v>43521</v>
      </c>
      <c r="C61" s="126">
        <v>450</v>
      </c>
      <c r="D61" s="208" t="s">
        <v>374</v>
      </c>
      <c r="E61" s="124" t="s">
        <v>375</v>
      </c>
      <c r="F61" s="210" t="s">
        <v>379</v>
      </c>
    </row>
    <row r="62" spans="1:6" ht="15.75" thickBot="1" x14ac:dyDescent="0.3">
      <c r="A62" s="131" t="s">
        <v>376</v>
      </c>
      <c r="B62" s="213">
        <v>43521</v>
      </c>
      <c r="C62" s="133">
        <v>370</v>
      </c>
      <c r="D62" s="209" t="s">
        <v>377</v>
      </c>
      <c r="E62" s="236" t="s">
        <v>380</v>
      </c>
      <c r="F62" s="211" t="s">
        <v>378</v>
      </c>
    </row>
  </sheetData>
  <mergeCells count="18">
    <mergeCell ref="A58:F58"/>
    <mergeCell ref="A48:F48"/>
    <mergeCell ref="A53:F53"/>
    <mergeCell ref="A1:F1"/>
    <mergeCell ref="A28:F28"/>
    <mergeCell ref="A33:F33"/>
    <mergeCell ref="A38:F38"/>
    <mergeCell ref="A43:F43"/>
    <mergeCell ref="A13:F13"/>
    <mergeCell ref="A18:F18"/>
    <mergeCell ref="A23:F23"/>
    <mergeCell ref="A6:F6"/>
    <mergeCell ref="A7:F7"/>
    <mergeCell ref="A8:F8"/>
    <mergeCell ref="A2:F2"/>
    <mergeCell ref="A3:F3"/>
    <mergeCell ref="A4:F4"/>
    <mergeCell ref="A5:F5"/>
  </mergeCells>
  <hyperlinks>
    <hyperlink ref="E15" r:id="rId1"/>
    <hyperlink ref="E16" r:id="rId2"/>
    <hyperlink ref="E20" r:id="rId3"/>
    <hyperlink ref="E11" r:id="rId4"/>
    <hyperlink ref="E21" r:id="rId5"/>
    <hyperlink ref="E17" r:id="rId6"/>
    <hyperlink ref="E12" r:id="rId7" display="mailto:comercial@multicontainer.com.br"/>
    <hyperlink ref="E22" r:id="rId8"/>
    <hyperlink ref="E37" r:id="rId9"/>
    <hyperlink ref="E35" r:id="rId10"/>
    <hyperlink ref="E32" r:id="rId11"/>
    <hyperlink ref="E30" r:id="rId12"/>
    <hyperlink ref="E42" r:id="rId13"/>
    <hyperlink ref="E40" r:id="rId14"/>
    <hyperlink ref="E47" r:id="rId15"/>
    <hyperlink ref="E45" r:id="rId16"/>
    <hyperlink ref="E25" r:id="rId17"/>
  </hyperlinks>
  <pageMargins left="0.511811024" right="0.511811024" top="0.78740157499999996" bottom="0.78740157499999996" header="0.31496062000000002" footer="0.31496062000000002"/>
  <pageSetup paperSize="9" scale="65" orientation="portrait" r:id="rId18"/>
  <drawing r:id="rId19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F7" sqref="F7"/>
    </sheetView>
  </sheetViews>
  <sheetFormatPr defaultRowHeight="15" x14ac:dyDescent="0.25"/>
  <cols>
    <col min="1" max="1" width="11.7109375" bestFit="1" customWidth="1"/>
  </cols>
  <sheetData>
    <row r="1" spans="1:4" x14ac:dyDescent="0.25">
      <c r="A1" s="199" t="s">
        <v>285</v>
      </c>
      <c r="B1" s="199">
        <f>5*(8+19+3.5+10.15)</f>
        <v>203.25</v>
      </c>
      <c r="C1" s="199">
        <f>B1*1.3</f>
        <v>264.22500000000002</v>
      </c>
      <c r="D1" s="199">
        <v>270</v>
      </c>
    </row>
    <row r="2" spans="1:4" x14ac:dyDescent="0.25">
      <c r="A2" s="199" t="s">
        <v>286</v>
      </c>
      <c r="B2" s="199">
        <f>5*(15)</f>
        <v>75</v>
      </c>
      <c r="C2" s="199">
        <f t="shared" ref="C2:C14" si="0">B2*1.3</f>
        <v>97.5</v>
      </c>
      <c r="D2" s="199">
        <v>100</v>
      </c>
    </row>
    <row r="3" spans="1:4" x14ac:dyDescent="0.25">
      <c r="A3" t="s">
        <v>284</v>
      </c>
      <c r="B3">
        <f>3*(9+5+31)</f>
        <v>135</v>
      </c>
      <c r="C3">
        <f t="shared" si="0"/>
        <v>175.5</v>
      </c>
      <c r="D3">
        <v>180</v>
      </c>
    </row>
    <row r="4" spans="1:4" x14ac:dyDescent="0.25">
      <c r="A4" t="s">
        <v>287</v>
      </c>
      <c r="B4">
        <f>3*(12+7)</f>
        <v>57</v>
      </c>
      <c r="C4">
        <f t="shared" si="0"/>
        <v>74.100000000000009</v>
      </c>
      <c r="D4">
        <v>80</v>
      </c>
    </row>
    <row r="5" spans="1:4" x14ac:dyDescent="0.25">
      <c r="A5" s="199">
        <v>2.5</v>
      </c>
      <c r="B5" s="199">
        <f>(3*200)</f>
        <v>600</v>
      </c>
      <c r="C5" s="199">
        <f t="shared" si="0"/>
        <v>780</v>
      </c>
      <c r="D5" s="199">
        <v>800</v>
      </c>
    </row>
    <row r="6" spans="1:4" x14ac:dyDescent="0.25">
      <c r="A6" s="199">
        <v>1.5</v>
      </c>
      <c r="B6" s="199">
        <f>(3*200)</f>
        <v>600</v>
      </c>
      <c r="C6" s="199">
        <f t="shared" si="0"/>
        <v>780</v>
      </c>
      <c r="D6" s="199">
        <v>800</v>
      </c>
    </row>
    <row r="7" spans="1:4" x14ac:dyDescent="0.25">
      <c r="A7" s="199">
        <v>4</v>
      </c>
      <c r="B7" s="199">
        <f>3*(15+10)</f>
        <v>75</v>
      </c>
      <c r="C7" s="199">
        <f t="shared" si="0"/>
        <v>97.5</v>
      </c>
      <c r="D7" s="199">
        <v>100</v>
      </c>
    </row>
    <row r="8" spans="1:4" x14ac:dyDescent="0.25">
      <c r="A8" s="199">
        <v>6</v>
      </c>
      <c r="B8" s="199">
        <f>3*(6+10+10+8)</f>
        <v>102</v>
      </c>
      <c r="C8" s="199">
        <f t="shared" si="0"/>
        <v>132.6</v>
      </c>
      <c r="D8" s="199">
        <v>150</v>
      </c>
    </row>
    <row r="10" spans="1:4" x14ac:dyDescent="0.25">
      <c r="A10" s="199" t="s">
        <v>288</v>
      </c>
      <c r="B10" s="199"/>
      <c r="C10" s="199"/>
      <c r="D10" s="199"/>
    </row>
    <row r="11" spans="1:4" x14ac:dyDescent="0.25">
      <c r="A11" s="199" t="s">
        <v>289</v>
      </c>
      <c r="B11" s="199">
        <v>400</v>
      </c>
      <c r="C11" s="199">
        <f t="shared" si="0"/>
        <v>520</v>
      </c>
      <c r="D11" s="199">
        <v>600</v>
      </c>
    </row>
    <row r="12" spans="1:4" x14ac:dyDescent="0.25">
      <c r="A12" s="199" t="s">
        <v>290</v>
      </c>
      <c r="B12" s="199">
        <f>25+10+10+10</f>
        <v>55</v>
      </c>
      <c r="C12" s="199">
        <f t="shared" si="0"/>
        <v>71.5</v>
      </c>
      <c r="D12" s="199">
        <v>80</v>
      </c>
    </row>
    <row r="13" spans="1:4" x14ac:dyDescent="0.25">
      <c r="A13" t="s">
        <v>291</v>
      </c>
      <c r="B13">
        <f>9+5+31+12+7</f>
        <v>64</v>
      </c>
      <c r="C13">
        <f t="shared" si="0"/>
        <v>83.2</v>
      </c>
      <c r="D13">
        <v>90</v>
      </c>
    </row>
    <row r="14" spans="1:4" x14ac:dyDescent="0.25">
      <c r="A14" t="s">
        <v>292</v>
      </c>
      <c r="B14">
        <f>8+19+3.5+10.15</f>
        <v>40.65</v>
      </c>
      <c r="C14">
        <f t="shared" si="0"/>
        <v>52.844999999999999</v>
      </c>
      <c r="D14">
        <v>60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3</vt:i4>
      </vt:variant>
    </vt:vector>
  </HeadingPairs>
  <TitlesOfParts>
    <vt:vector size="8" baseType="lpstr">
      <vt:lpstr>BDI</vt:lpstr>
      <vt:lpstr>PO</vt:lpstr>
      <vt:lpstr>CFF</vt:lpstr>
      <vt:lpstr>Gestão de Orçamentos </vt:lpstr>
      <vt:lpstr>Plan1</vt:lpstr>
      <vt:lpstr>BDI!Area_de_impressao</vt:lpstr>
      <vt:lpstr>CFF!Area_de_impressao</vt:lpstr>
      <vt:lpstr>PO!Area_de_impressao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JF Pedro</dc:creator>
  <cp:lastModifiedBy>JF-11</cp:lastModifiedBy>
  <cp:lastPrinted>2019-05-23T16:35:09Z</cp:lastPrinted>
  <dcterms:created xsi:type="dcterms:W3CDTF">2018-02-22T13:33:35Z</dcterms:created>
  <dcterms:modified xsi:type="dcterms:W3CDTF">2019-05-23T16:35:48Z</dcterms:modified>
</cp:coreProperties>
</file>